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G:\Lemma OÜ\Narva karjäär Enefit Industry OÜ Estonia kaevandus 2026\"/>
    </mc:Choice>
  </mc:AlternateContent>
  <xr:revisionPtr revIDLastSave="0" documentId="13_ncr:1_{D9E62501-553F-4779-9085-E36FD08DAB7F}" xr6:coauthVersionLast="47" xr6:coauthVersionMax="47" xr10:uidLastSave="{00000000-0000-0000-0000-000000000000}"/>
  <bookViews>
    <workbookView xWindow="38280" yWindow="-120" windowWidth="51840" windowHeight="21120" tabRatio="851" activeTab="6" xr2:uid="{00000000-000D-0000-FFFF-FFFF00000000}"/>
  </bookViews>
  <sheets>
    <sheet name="V1 V2 V3 V4 V5 V6 V7" sheetId="9" r:id="rId1"/>
    <sheet name="V8 Šurfid" sheetId="8" r:id="rId2"/>
    <sheet name="V9 V9.1 V10 V11 Tankla" sheetId="5" r:id="rId3"/>
    <sheet name="K1 katlad" sheetId="6" r:id="rId4"/>
    <sheet name="K2  K3 Katlamaja mahuti" sheetId="3" r:id="rId5"/>
    <sheet name="V12 Purustus ja sorteerimissõlm" sheetId="12" r:id="rId6"/>
    <sheet name="Koond" sheetId="10" r:id="rId7"/>
  </sheets>
  <definedNames>
    <definedName name="para3lg2" localSheetId="4">'K2  K3 Katlamaja mahuti'!#REF!</definedName>
    <definedName name="para3lg3" localSheetId="4">'K2  K3 Katlamaja mahuti'!$A$57</definedName>
    <definedName name="para3lg4" localSheetId="4">'K2  K3 Katlamaja mahuti'!$A$65</definedName>
    <definedName name="para8lg2" localSheetId="4">'K2  K3 Katlamaja mahuti'!$A$74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12" l="1"/>
  <c r="G12" i="12"/>
  <c r="H12" i="12"/>
  <c r="I12" i="12"/>
  <c r="J12" i="12"/>
  <c r="E12" i="12"/>
  <c r="AH16" i="10"/>
  <c r="AF16" i="10"/>
  <c r="C16" i="10"/>
  <c r="B16" i="10"/>
  <c r="C24" i="12"/>
  <c r="H11" i="12"/>
  <c r="H3" i="12"/>
  <c r="H10" i="12"/>
  <c r="H9" i="12"/>
  <c r="H4" i="12"/>
  <c r="H5" i="12"/>
  <c r="P9" i="12"/>
  <c r="P8" i="12"/>
  <c r="P7" i="12"/>
  <c r="G11" i="12"/>
  <c r="G10" i="12"/>
  <c r="G9" i="12"/>
  <c r="J10" i="12"/>
  <c r="J11" i="12"/>
  <c r="I10" i="12"/>
  <c r="F10" i="12" s="1"/>
  <c r="I11" i="12"/>
  <c r="F11" i="12" s="1"/>
  <c r="E11" i="12"/>
  <c r="J3" i="12"/>
  <c r="J4" i="12"/>
  <c r="I3" i="12"/>
  <c r="I4" i="12"/>
  <c r="E4" i="12"/>
  <c r="E10" i="12"/>
  <c r="B21" i="12"/>
  <c r="J9" i="12"/>
  <c r="C9" i="12"/>
  <c r="I9" i="12" s="1"/>
  <c r="C7" i="12"/>
  <c r="C6" i="12"/>
  <c r="C5" i="12"/>
  <c r="C4" i="12"/>
  <c r="E9" i="12" l="1"/>
  <c r="F3" i="12"/>
  <c r="E3" i="12"/>
  <c r="G3" i="12"/>
  <c r="F4" i="12"/>
  <c r="F9" i="12"/>
  <c r="C18" i="12"/>
  <c r="C19" i="12"/>
  <c r="C20" i="12"/>
  <c r="H7" i="12" s="1"/>
  <c r="E7" i="12" s="1"/>
  <c r="G4" i="12"/>
  <c r="C17" i="12"/>
  <c r="H6" i="12" s="1"/>
  <c r="I7" i="12" l="1"/>
  <c r="F7" i="12" s="1"/>
  <c r="C21" i="12"/>
  <c r="J8" i="12"/>
  <c r="G8" i="12" s="1"/>
  <c r="H8" i="12"/>
  <c r="E8" i="12" s="1"/>
  <c r="I8" i="12"/>
  <c r="F8" i="12" s="1"/>
  <c r="J6" i="12"/>
  <c r="G6" i="12" s="1"/>
  <c r="E6" i="12"/>
  <c r="J7" i="12"/>
  <c r="G7" i="12" s="1"/>
  <c r="J5" i="12"/>
  <c r="I6" i="12"/>
  <c r="F6" i="12" s="1"/>
  <c r="I5" i="12"/>
  <c r="F5" i="12" l="1"/>
  <c r="AE10" i="10"/>
  <c r="G5" i="12"/>
  <c r="AE11" i="10"/>
  <c r="E5" i="12"/>
  <c r="AD9" i="10" s="1"/>
  <c r="AE9" i="10"/>
  <c r="AD11" i="10" l="1"/>
  <c r="AD10" i="10"/>
  <c r="I4" i="3" l="1"/>
  <c r="K7" i="6"/>
  <c r="B87" i="6"/>
  <c r="D5" i="6" l="1"/>
  <c r="I7" i="3" l="1"/>
  <c r="I6" i="3"/>
  <c r="L4" i="3" s="1"/>
  <c r="U42" i="3"/>
  <c r="U41" i="3"/>
  <c r="U40" i="3"/>
  <c r="P6" i="6"/>
  <c r="K5" i="6" s="1"/>
  <c r="E10" i="6" s="1"/>
  <c r="P7" i="6"/>
  <c r="K6" i="6" s="1"/>
  <c r="J48" i="3"/>
  <c r="P8" i="6"/>
  <c r="K22" i="3"/>
  <c r="D2" i="6"/>
  <c r="M14" i="8" l="1"/>
  <c r="M18" i="8"/>
  <c r="J5" i="8" l="1"/>
  <c r="J6" i="8"/>
  <c r="J8" i="8"/>
  <c r="J7" i="8"/>
  <c r="M16" i="8"/>
  <c r="M17" i="8"/>
  <c r="M19" i="8"/>
  <c r="M20" i="8"/>
  <c r="M21" i="8"/>
  <c r="M15" i="8"/>
  <c r="J3" i="8"/>
  <c r="L3" i="8" s="1"/>
  <c r="K3" i="8" l="1"/>
  <c r="U9" i="10" s="1"/>
  <c r="K7" i="8"/>
  <c r="U5" i="10" s="1"/>
  <c r="O3" i="8" l="1"/>
  <c r="T9" i="10"/>
  <c r="K6" i="8"/>
  <c r="U6" i="10" s="1"/>
  <c r="J4" i="8"/>
  <c r="K4" i="8" s="1"/>
  <c r="U10" i="10" s="1"/>
  <c r="B10" i="8" l="1"/>
  <c r="E12" i="5" l="1"/>
  <c r="F12" i="5"/>
  <c r="C10" i="5"/>
  <c r="C10" i="8"/>
  <c r="E10" i="8" s="1"/>
  <c r="E9" i="8"/>
  <c r="C9" i="8"/>
  <c r="C8" i="8"/>
  <c r="E8" i="8" s="1"/>
  <c r="J16" i="9"/>
  <c r="J17" i="9"/>
  <c r="J18" i="9"/>
  <c r="J19" i="9"/>
  <c r="J20" i="9"/>
  <c r="J15" i="9"/>
  <c r="E20" i="9" l="1"/>
  <c r="E19" i="9"/>
  <c r="E18" i="9"/>
  <c r="E17" i="9"/>
  <c r="E16" i="9"/>
  <c r="E15" i="9"/>
  <c r="B53" i="5"/>
  <c r="L6" i="8" l="1"/>
  <c r="C15" i="8"/>
  <c r="O6" i="8" l="1"/>
  <c r="T6" i="10"/>
  <c r="K8" i="8"/>
  <c r="U8" i="10" s="1"/>
  <c r="L8" i="8"/>
  <c r="O8" i="8" l="1"/>
  <c r="T8" i="10"/>
  <c r="L7" i="8"/>
  <c r="K5" i="8"/>
  <c r="U11" i="10" s="1"/>
  <c r="L5" i="8"/>
  <c r="J61" i="3"/>
  <c r="G45" i="6"/>
  <c r="E45" i="6"/>
  <c r="F20" i="5"/>
  <c r="F34" i="5" s="1"/>
  <c r="E20" i="5"/>
  <c r="E34" i="5" s="1"/>
  <c r="D20" i="5"/>
  <c r="D34" i="5" s="1"/>
  <c r="C20" i="5"/>
  <c r="C34" i="5" s="1"/>
  <c r="R28" i="9"/>
  <c r="F7" i="9" s="1"/>
  <c r="R27" i="9"/>
  <c r="E7" i="9" s="1"/>
  <c r="R26" i="9"/>
  <c r="D7" i="9" s="1"/>
  <c r="R19" i="9"/>
  <c r="F3" i="9" s="1"/>
  <c r="I3" i="9" s="1"/>
  <c r="R18" i="9"/>
  <c r="E3" i="9" s="1"/>
  <c r="R17" i="9"/>
  <c r="D3" i="9" s="1"/>
  <c r="R10" i="9"/>
  <c r="F9" i="9" s="1"/>
  <c r="F10" i="9" s="1"/>
  <c r="I10" i="9" s="1"/>
  <c r="R9" i="9"/>
  <c r="E9" i="9" s="1"/>
  <c r="E10" i="9" s="1"/>
  <c r="H10" i="9" s="1"/>
  <c r="R8" i="9"/>
  <c r="D9" i="9" s="1"/>
  <c r="I8" i="5"/>
  <c r="I6" i="5"/>
  <c r="I4" i="5"/>
  <c r="I3" i="5"/>
  <c r="G3" i="5"/>
  <c r="G4" i="5"/>
  <c r="G6" i="5"/>
  <c r="G8" i="5"/>
  <c r="B42" i="5"/>
  <c r="B54" i="5" s="1"/>
  <c r="B41" i="5"/>
  <c r="F14" i="5"/>
  <c r="E14" i="5"/>
  <c r="J33" i="3"/>
  <c r="J69" i="3" s="1"/>
  <c r="J32" i="3"/>
  <c r="E52" i="6"/>
  <c r="G52" i="6" s="1"/>
  <c r="E53" i="6"/>
  <c r="G53" i="6" s="1"/>
  <c r="E49" i="6"/>
  <c r="G49" i="6" s="1"/>
  <c r="C35" i="5"/>
  <c r="E35" i="5" s="1"/>
  <c r="F21" i="5"/>
  <c r="E21" i="5"/>
  <c r="D21" i="5"/>
  <c r="E33" i="5"/>
  <c r="F13" i="5"/>
  <c r="D22" i="5" s="1"/>
  <c r="F15" i="5"/>
  <c r="F22" i="5" s="1"/>
  <c r="C22" i="5"/>
  <c r="J70" i="3"/>
  <c r="F33" i="5"/>
  <c r="B40" i="5"/>
  <c r="B39" i="5"/>
  <c r="D33" i="5"/>
  <c r="C33" i="5"/>
  <c r="J59" i="3"/>
  <c r="J52" i="3" s="1"/>
  <c r="J68" i="3"/>
  <c r="J53" i="3"/>
  <c r="L26" i="3"/>
  <c r="K26" i="3"/>
  <c r="E15" i="5"/>
  <c r="E13" i="5"/>
  <c r="O7" i="8" l="1"/>
  <c r="T5" i="10"/>
  <c r="O5" i="8"/>
  <c r="T11" i="10"/>
  <c r="Q11" i="10"/>
  <c r="L10" i="9"/>
  <c r="Q10" i="10"/>
  <c r="K10" i="9"/>
  <c r="I7" i="9"/>
  <c r="K11" i="10" s="1"/>
  <c r="F8" i="9"/>
  <c r="I8" i="9" s="1"/>
  <c r="L8" i="9" s="1"/>
  <c r="E22" i="5"/>
  <c r="E25" i="5" s="1"/>
  <c r="F10" i="5"/>
  <c r="H7" i="9"/>
  <c r="E8" i="9"/>
  <c r="H8" i="9" s="1"/>
  <c r="K8" i="9" s="1"/>
  <c r="L3" i="9"/>
  <c r="G7" i="9"/>
  <c r="J7" i="9" s="1"/>
  <c r="J9" i="10" s="1"/>
  <c r="D8" i="9"/>
  <c r="G8" i="9" s="1"/>
  <c r="J8" i="9" s="1"/>
  <c r="L9" i="10" s="1"/>
  <c r="L4" i="8"/>
  <c r="M9" i="10"/>
  <c r="K10" i="10"/>
  <c r="K7" i="9"/>
  <c r="L7" i="9"/>
  <c r="K9" i="10"/>
  <c r="H3" i="9"/>
  <c r="E6" i="9"/>
  <c r="D11" i="9"/>
  <c r="G11" i="9" s="1"/>
  <c r="D10" i="9"/>
  <c r="G10" i="9" s="1"/>
  <c r="G9" i="9"/>
  <c r="G3" i="9"/>
  <c r="D6" i="9"/>
  <c r="H9" i="9"/>
  <c r="I9" i="9"/>
  <c r="F11" i="9"/>
  <c r="I11" i="9" s="1"/>
  <c r="F6" i="9"/>
  <c r="E11" i="9"/>
  <c r="H11" i="9" s="1"/>
  <c r="L5" i="3"/>
  <c r="C36" i="5"/>
  <c r="C39" i="5" s="1"/>
  <c r="D35" i="5"/>
  <c r="F36" i="5"/>
  <c r="F35" i="5"/>
  <c r="D25" i="5"/>
  <c r="J31" i="3"/>
  <c r="J25" i="3" s="1"/>
  <c r="L22" i="3" s="1"/>
  <c r="F25" i="5"/>
  <c r="J42" i="3"/>
  <c r="J66" i="3"/>
  <c r="J54" i="3" s="1"/>
  <c r="C25" i="5"/>
  <c r="L6" i="3" l="1"/>
  <c r="J14" i="3"/>
  <c r="L11" i="3" s="1"/>
  <c r="M11" i="10"/>
  <c r="E36" i="5"/>
  <c r="E39" i="5" s="1"/>
  <c r="O4" i="8"/>
  <c r="T10" i="10"/>
  <c r="M10" i="10"/>
  <c r="U17" i="3"/>
  <c r="P17" i="3" s="1"/>
  <c r="T17" i="3" s="1"/>
  <c r="O17" i="3"/>
  <c r="S17" i="3"/>
  <c r="O9" i="10"/>
  <c r="J9" i="9"/>
  <c r="N9" i="10" s="1"/>
  <c r="K19" i="9"/>
  <c r="P10" i="10"/>
  <c r="S10" i="10"/>
  <c r="K11" i="9"/>
  <c r="O10" i="10"/>
  <c r="K9" i="9"/>
  <c r="Q9" i="10"/>
  <c r="J10" i="9"/>
  <c r="P9" i="10" s="1"/>
  <c r="O11" i="10"/>
  <c r="L9" i="9"/>
  <c r="K3" i="9"/>
  <c r="S9" i="10"/>
  <c r="J11" i="9"/>
  <c r="R9" i="10" s="1"/>
  <c r="L19" i="9"/>
  <c r="P11" i="10"/>
  <c r="S11" i="10"/>
  <c r="L11" i="9"/>
  <c r="J3" i="9"/>
  <c r="L17" i="9"/>
  <c r="L11" i="10"/>
  <c r="K17" i="9"/>
  <c r="L10" i="10"/>
  <c r="L16" i="9"/>
  <c r="J11" i="10"/>
  <c r="K16" i="9"/>
  <c r="J10" i="10"/>
  <c r="C43" i="5"/>
  <c r="C41" i="5"/>
  <c r="D4" i="9"/>
  <c r="G4" i="9" s="1"/>
  <c r="J4" i="9" s="1"/>
  <c r="G6" i="9"/>
  <c r="E26" i="5"/>
  <c r="E28" i="5" s="1"/>
  <c r="E29" i="5"/>
  <c r="E27" i="5"/>
  <c r="F4" i="9"/>
  <c r="I4" i="9" s="1"/>
  <c r="I5" i="9" s="1"/>
  <c r="L5" i="9" s="1"/>
  <c r="I6" i="9"/>
  <c r="E40" i="5"/>
  <c r="E44" i="5" s="1"/>
  <c r="E41" i="5"/>
  <c r="E43" i="5"/>
  <c r="F26" i="5"/>
  <c r="F28" i="5" s="1"/>
  <c r="F29" i="5"/>
  <c r="F27" i="5"/>
  <c r="F39" i="5"/>
  <c r="E4" i="9"/>
  <c r="H4" i="9" s="1"/>
  <c r="K4" i="9" s="1"/>
  <c r="H6" i="9"/>
  <c r="D26" i="5"/>
  <c r="D30" i="5" s="1"/>
  <c r="D29" i="5"/>
  <c r="D27" i="5"/>
  <c r="C29" i="5"/>
  <c r="C27" i="5"/>
  <c r="D36" i="5"/>
  <c r="D39" i="5" s="1"/>
  <c r="C40" i="5"/>
  <c r="J51" i="3"/>
  <c r="C26" i="5"/>
  <c r="B7" i="6"/>
  <c r="J41" i="3" l="1"/>
  <c r="J39" i="3" s="1"/>
  <c r="E78" i="3" s="1"/>
  <c r="W7" i="10"/>
  <c r="C53" i="5"/>
  <c r="D28" i="5"/>
  <c r="E42" i="5"/>
  <c r="E54" i="5" s="1"/>
  <c r="AA20" i="10" s="1"/>
  <c r="H5" i="9"/>
  <c r="K5" i="9" s="1"/>
  <c r="G5" i="9"/>
  <c r="J5" i="9" s="1"/>
  <c r="F9" i="10" s="1"/>
  <c r="I11" i="10"/>
  <c r="L6" i="9"/>
  <c r="L4" i="9"/>
  <c r="I9" i="10"/>
  <c r="J6" i="9"/>
  <c r="H9" i="10" s="1"/>
  <c r="L20" i="9"/>
  <c r="R11" i="10"/>
  <c r="E30" i="5"/>
  <c r="E56" i="5" s="1"/>
  <c r="Z20" i="10" s="1"/>
  <c r="F30" i="5"/>
  <c r="E53" i="5"/>
  <c r="AA7" i="10" s="1"/>
  <c r="G9" i="10"/>
  <c r="S16" i="3"/>
  <c r="O16" i="3"/>
  <c r="U16" i="3" s="1"/>
  <c r="P16" i="3" s="1"/>
  <c r="T16" i="3" s="1"/>
  <c r="L18" i="9"/>
  <c r="N11" i="10"/>
  <c r="K18" i="9"/>
  <c r="N10" i="10"/>
  <c r="C55" i="5"/>
  <c r="V7" i="10" s="1"/>
  <c r="I10" i="10"/>
  <c r="K6" i="9"/>
  <c r="E55" i="5"/>
  <c r="Z7" i="10" s="1"/>
  <c r="K20" i="9"/>
  <c r="R10" i="10"/>
  <c r="D40" i="5"/>
  <c r="D42" i="5" s="1"/>
  <c r="D54" i="5" s="1"/>
  <c r="Y20" i="10" s="1"/>
  <c r="D43" i="5"/>
  <c r="D55" i="5" s="1"/>
  <c r="X7" i="10" s="1"/>
  <c r="D41" i="5"/>
  <c r="D53" i="5" s="1"/>
  <c r="Y7" i="10" s="1"/>
  <c r="F40" i="5"/>
  <c r="F43" i="5"/>
  <c r="F55" i="5" s="1"/>
  <c r="AB7" i="10" s="1"/>
  <c r="F41" i="5"/>
  <c r="F53" i="5" s="1"/>
  <c r="AC7" i="10" s="1"/>
  <c r="C28" i="5"/>
  <c r="C30" i="5"/>
  <c r="C42" i="5"/>
  <c r="C44" i="5"/>
  <c r="O15" i="3"/>
  <c r="S15" i="3" s="1"/>
  <c r="F78" i="3"/>
  <c r="D44" i="5" l="1"/>
  <c r="D56" i="5" s="1"/>
  <c r="X20" i="10" s="1"/>
  <c r="F10" i="10"/>
  <c r="G10" i="10"/>
  <c r="C56" i="5"/>
  <c r="V20" i="10" s="1"/>
  <c r="O18" i="3"/>
  <c r="S18" i="3"/>
  <c r="K15" i="9"/>
  <c r="H10" i="10"/>
  <c r="C54" i="5"/>
  <c r="W20" i="10" s="1"/>
  <c r="F11" i="10"/>
  <c r="G11" i="10"/>
  <c r="L15" i="9"/>
  <c r="H11" i="10"/>
  <c r="F42" i="5"/>
  <c r="F54" i="5" s="1"/>
  <c r="AC20" i="10" s="1"/>
  <c r="F44" i="5"/>
  <c r="F56" i="5" s="1"/>
  <c r="AB20" i="10" s="1"/>
  <c r="U15" i="3"/>
  <c r="P15" i="3" s="1"/>
  <c r="T15" i="3" s="1"/>
  <c r="U18" i="3"/>
  <c r="P18" i="3" s="1"/>
  <c r="T18" i="3" s="1"/>
  <c r="D6" i="6"/>
  <c r="H25" i="6" l="1"/>
  <c r="O7" i="6"/>
  <c r="F12" i="6"/>
  <c r="B64" i="6" s="1"/>
  <c r="O6" i="6"/>
  <c r="D7" i="6"/>
  <c r="F25" i="6"/>
  <c r="I25" i="6" s="1"/>
  <c r="B15" i="10" s="1"/>
  <c r="AF15" i="10" s="1"/>
  <c r="F43" i="6"/>
  <c r="H15" i="6" s="1"/>
  <c r="B83" i="6" s="1"/>
  <c r="H13" i="6"/>
  <c r="H22" i="6"/>
  <c r="H30" i="6"/>
  <c r="H21" i="6"/>
  <c r="H29" i="6"/>
  <c r="G46" i="6"/>
  <c r="G48" i="6" s="1"/>
  <c r="G51" i="6" s="1"/>
  <c r="G54" i="6" s="1"/>
  <c r="H20" i="6"/>
  <c r="H28" i="6"/>
  <c r="H19" i="6"/>
  <c r="H27" i="6"/>
  <c r="H24" i="6"/>
  <c r="H14" i="6"/>
  <c r="H31" i="6"/>
  <c r="H18" i="6"/>
  <c r="H26" i="6"/>
  <c r="H17" i="6"/>
  <c r="H16" i="6"/>
  <c r="H12" i="6"/>
  <c r="H23" i="6"/>
  <c r="F18" i="6"/>
  <c r="F26" i="6"/>
  <c r="F17" i="6"/>
  <c r="F16" i="6"/>
  <c r="B72" i="6" s="1"/>
  <c r="F24" i="6"/>
  <c r="F14" i="6"/>
  <c r="I14" i="6" s="1"/>
  <c r="B7" i="10" s="1"/>
  <c r="F23" i="6"/>
  <c r="F31" i="6"/>
  <c r="F20" i="6"/>
  <c r="F27" i="6"/>
  <c r="F13" i="6"/>
  <c r="F22" i="6"/>
  <c r="F30" i="6"/>
  <c r="F21" i="6"/>
  <c r="F29" i="6"/>
  <c r="F28" i="6"/>
  <c r="B43" i="6"/>
  <c r="F15" i="6" s="1"/>
  <c r="B68" i="6" s="1"/>
  <c r="F19" i="6"/>
  <c r="E46" i="6"/>
  <c r="I12" i="6" l="1"/>
  <c r="B5" i="10" s="1"/>
  <c r="AF5" i="10" s="1"/>
  <c r="B79" i="6"/>
  <c r="G55" i="6"/>
  <c r="B78" i="6"/>
  <c r="B82" i="6" s="1"/>
  <c r="B86" i="6" s="1"/>
  <c r="B88" i="6" s="1"/>
  <c r="O8" i="6"/>
  <c r="I30" i="6"/>
  <c r="I13" i="6"/>
  <c r="B6" i="10" s="1"/>
  <c r="AF6" i="10" s="1"/>
  <c r="I15" i="6"/>
  <c r="B8" i="10" s="1"/>
  <c r="AF8" i="10" s="1"/>
  <c r="I24" i="6"/>
  <c r="I19" i="6"/>
  <c r="B12" i="10" s="1"/>
  <c r="AF12" i="10" s="1"/>
  <c r="I17" i="6"/>
  <c r="B10" i="10" s="1"/>
  <c r="AF10" i="10" s="1"/>
  <c r="I23" i="6"/>
  <c r="B14" i="10" s="1"/>
  <c r="AF14" i="10" s="1"/>
  <c r="I21" i="6"/>
  <c r="I29" i="6"/>
  <c r="I22" i="6"/>
  <c r="B13" i="10" s="1"/>
  <c r="AF13" i="10" s="1"/>
  <c r="I31" i="6"/>
  <c r="I16" i="6"/>
  <c r="B9" i="10" s="1"/>
  <c r="AF9" i="10" s="1"/>
  <c r="I18" i="6"/>
  <c r="B11" i="10" s="1"/>
  <c r="AF11" i="10" s="1"/>
  <c r="I27" i="6"/>
  <c r="E48" i="6"/>
  <c r="E51" i="6" s="1"/>
  <c r="E54" i="6" s="1"/>
  <c r="I28" i="6"/>
  <c r="I20" i="6"/>
  <c r="I26" i="6"/>
  <c r="B80" i="6" l="1"/>
  <c r="F57" i="6"/>
  <c r="B63" i="6"/>
  <c r="B84" i="6"/>
  <c r="F58" i="6"/>
  <c r="G10" i="6"/>
  <c r="F42" i="6"/>
  <c r="G15" i="6" s="1"/>
  <c r="E55" i="6"/>
  <c r="B67" i="6" l="1"/>
  <c r="B65" i="6"/>
  <c r="B42" i="6"/>
  <c r="E12" i="6"/>
  <c r="G12" i="6"/>
  <c r="G25" i="6"/>
  <c r="L5" i="6"/>
  <c r="F38" i="6"/>
  <c r="F39" i="6" s="1"/>
  <c r="G32" i="6" s="1"/>
  <c r="G20" i="6"/>
  <c r="G28" i="6"/>
  <c r="G22" i="6"/>
  <c r="G19" i="6"/>
  <c r="G27" i="6"/>
  <c r="G21" i="6"/>
  <c r="G18" i="6"/>
  <c r="G17" i="6"/>
  <c r="G26" i="6"/>
  <c r="G30" i="6"/>
  <c r="G16" i="6"/>
  <c r="G14" i="6"/>
  <c r="G24" i="6"/>
  <c r="G13" i="6"/>
  <c r="G23" i="6"/>
  <c r="G31" i="6"/>
  <c r="G29" i="6"/>
  <c r="F35" i="6"/>
  <c r="E15" i="6"/>
  <c r="J15" i="6" s="1"/>
  <c r="C8" i="10" s="1"/>
  <c r="AH8" i="10" s="1"/>
  <c r="B71" i="6" l="1"/>
  <c r="B73" i="6" s="1"/>
  <c r="B69" i="6"/>
  <c r="E25" i="6"/>
  <c r="E13" i="6"/>
  <c r="E14" i="6"/>
  <c r="J14" i="6" s="1"/>
  <c r="C7" i="10" s="1"/>
  <c r="J12" i="6"/>
  <c r="C5" i="10" s="1"/>
  <c r="AH5" i="10" s="1"/>
  <c r="B35" i="6"/>
  <c r="E26" i="6"/>
  <c r="J26" i="6" s="1"/>
  <c r="E18" i="6"/>
  <c r="J18" i="6" s="1"/>
  <c r="C11" i="10" s="1"/>
  <c r="AH11" i="10" s="1"/>
  <c r="E29" i="6"/>
  <c r="J29" i="6" s="1"/>
  <c r="E30" i="6"/>
  <c r="J30" i="6" s="1"/>
  <c r="J13" i="6"/>
  <c r="C6" i="10" s="1"/>
  <c r="AH6" i="10" s="1"/>
  <c r="E31" i="6"/>
  <c r="J31" i="6" s="1"/>
  <c r="E16" i="6"/>
  <c r="J16" i="6" s="1"/>
  <c r="C9" i="10" s="1"/>
  <c r="AH9" i="10" s="1"/>
  <c r="E17" i="6"/>
  <c r="J17" i="6" s="1"/>
  <c r="C10" i="10" s="1"/>
  <c r="AH10" i="10" s="1"/>
  <c r="E27" i="6"/>
  <c r="J27" i="6" s="1"/>
  <c r="E19" i="6"/>
  <c r="J19" i="6" s="1"/>
  <c r="C12" i="10" s="1"/>
  <c r="AH12" i="10" s="1"/>
  <c r="E28" i="6"/>
  <c r="J28" i="6" s="1"/>
  <c r="E20" i="6"/>
  <c r="J20" i="6" s="1"/>
  <c r="E21" i="6"/>
  <c r="J21" i="6" s="1"/>
  <c r="E22" i="6"/>
  <c r="J22" i="6" s="1"/>
  <c r="C13" i="10" s="1"/>
  <c r="AH13" i="10" s="1"/>
  <c r="E24" i="6"/>
  <c r="J24" i="6" s="1"/>
  <c r="E23" i="6"/>
  <c r="J23" i="6" s="1"/>
  <c r="C14" i="10" s="1"/>
  <c r="AH14" i="10" s="1"/>
  <c r="J25" i="6"/>
  <c r="C15" i="10" s="1"/>
  <c r="AH15" i="10" s="1"/>
  <c r="B38" i="6"/>
  <c r="B39" i="6" s="1"/>
  <c r="E32" i="6" s="1"/>
  <c r="J32" i="6" s="1"/>
  <c r="C17" i="10" s="1"/>
  <c r="AH17" i="10" s="1"/>
  <c r="O10" i="3" l="1"/>
  <c r="S10" i="3" s="1"/>
  <c r="S25" i="3" s="1"/>
  <c r="O7" i="3"/>
  <c r="V10" i="3"/>
  <c r="V8" i="3"/>
  <c r="V7" i="3"/>
  <c r="V9" i="3"/>
  <c r="O9" i="3"/>
  <c r="K11" i="3"/>
  <c r="O8" i="3" s="1"/>
  <c r="S8" i="3" s="1"/>
  <c r="S9" i="3" l="1"/>
  <c r="O24" i="3"/>
  <c r="Q41" i="3" s="1"/>
  <c r="S7" i="3"/>
  <c r="S22" i="3" s="1"/>
  <c r="U39" i="3" s="1"/>
  <c r="U7" i="3"/>
  <c r="P7" i="3" s="1"/>
  <c r="U10" i="3"/>
  <c r="P10" i="3" s="1"/>
  <c r="O25" i="3"/>
  <c r="U8" i="3"/>
  <c r="P8" i="3" s="1"/>
  <c r="O23" i="3"/>
  <c r="Q40" i="3" s="1"/>
  <c r="O22" i="3"/>
  <c r="Q39" i="3" s="1"/>
  <c r="U9" i="3"/>
  <c r="P9" i="3" s="1"/>
  <c r="Q33" i="3" l="1"/>
  <c r="E20" i="10" s="1"/>
  <c r="AH20" i="10" s="1"/>
  <c r="Q42" i="3"/>
  <c r="S23" i="3"/>
  <c r="Q31" i="3" s="1"/>
  <c r="E18" i="10" s="1"/>
  <c r="AH18" i="10" s="1"/>
  <c r="Q30" i="3"/>
  <c r="E7" i="10" s="1"/>
  <c r="AH7" i="10" s="1"/>
  <c r="P23" i="3"/>
  <c r="P40" i="3" s="1"/>
  <c r="T8" i="3"/>
  <c r="T23" i="3" s="1"/>
  <c r="T40" i="3" s="1"/>
  <c r="P25" i="3"/>
  <c r="P42" i="3" s="1"/>
  <c r="T10" i="3"/>
  <c r="T25" i="3" s="1"/>
  <c r="T42" i="3" s="1"/>
  <c r="P22" i="3"/>
  <c r="T7" i="3"/>
  <c r="T22" i="3" s="1"/>
  <c r="T39" i="3" s="1"/>
  <c r="P24" i="3"/>
  <c r="P41" i="3" s="1"/>
  <c r="T9" i="3"/>
  <c r="T24" i="3" s="1"/>
  <c r="T41" i="3" s="1"/>
  <c r="P39" i="3" l="1"/>
  <c r="P30" i="3"/>
  <c r="D7" i="10" s="1"/>
  <c r="AF7" i="10" s="1"/>
  <c r="P31" i="3"/>
  <c r="D18" i="10" s="1"/>
  <c r="AF18" i="10" s="1"/>
  <c r="P32" i="3"/>
  <c r="D19" i="10" s="1"/>
  <c r="AF19" i="10" s="1"/>
  <c r="P33" i="3"/>
  <c r="D20" i="10" s="1"/>
  <c r="AF20" i="10" s="1"/>
  <c r="S24" i="3"/>
  <c r="Q32" i="3" s="1"/>
  <c r="E19" i="10" s="1"/>
  <c r="AH19" i="10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Kasutaja</author>
  </authors>
  <commentList>
    <comment ref="F8" authorId="0" shapeId="0" xr:uid="{00000000-0006-0000-0100-000001000000}">
      <text>
        <r>
          <rPr>
            <b/>
            <sz val="9"/>
            <color indexed="81"/>
            <rFont val="Segoe UI"/>
            <family val="2"/>
          </rPr>
          <t>Kasutaja:
Tonni üks lõhkamine on saadud valemiga = lõhkaine aasta kogus/ lõhkamiste arvuga aastas</t>
        </r>
      </text>
    </comment>
  </commentList>
</comments>
</file>

<file path=xl/sharedStrings.xml><?xml version="1.0" encoding="utf-8"?>
<sst xmlns="http://schemas.openxmlformats.org/spreadsheetml/2006/main" count="787" uniqueCount="411">
  <si>
    <t>MWth</t>
  </si>
  <si>
    <t>Kasutegur</t>
  </si>
  <si>
    <t>Nominaal</t>
  </si>
  <si>
    <t>%</t>
  </si>
  <si>
    <t>Väävlisisaldus</t>
  </si>
  <si>
    <t>Alum. kütteväärtus</t>
  </si>
  <si>
    <t>Suitsugaasi temperatuur</t>
  </si>
  <si>
    <t>Korsten, H</t>
  </si>
  <si>
    <t>MW</t>
  </si>
  <si>
    <t>CAS kood</t>
  </si>
  <si>
    <t>Saasteaine</t>
  </si>
  <si>
    <t>Saasteaine eriheite ühik</t>
  </si>
  <si>
    <t>Eriheide g/GJ metallidel mg/GJ</t>
  </si>
  <si>
    <t>Aastane heitkogus, t/a metllidel, kg/a</t>
  </si>
  <si>
    <t>Hetkeline heitkogus, g/s metallidel, mg/s</t>
  </si>
  <si>
    <t>10102-44-0</t>
  </si>
  <si>
    <t>Lämmastikdioksiid</t>
  </si>
  <si>
    <t>g/GJ</t>
  </si>
  <si>
    <t>630-08-0</t>
  </si>
  <si>
    <t>Süsinikoksiid</t>
  </si>
  <si>
    <t>NMHC</t>
  </si>
  <si>
    <t>Lenduvad orgaanilised ühendid (välja arvatud metaan)</t>
  </si>
  <si>
    <t>7446-09-5</t>
  </si>
  <si>
    <t>Vääveldioksiid</t>
  </si>
  <si>
    <t>PMsum</t>
  </si>
  <si>
    <t>Osakesed</t>
  </si>
  <si>
    <t>PM10</t>
  </si>
  <si>
    <t>Peenosakesed</t>
  </si>
  <si>
    <t>PM2,5</t>
  </si>
  <si>
    <t>Eriti peened osakesed</t>
  </si>
  <si>
    <t>7439-92-1</t>
  </si>
  <si>
    <t>Plii</t>
  </si>
  <si>
    <t>mg/GJ</t>
  </si>
  <si>
    <t>7440-43-9</t>
  </si>
  <si>
    <t>Kaadmium</t>
  </si>
  <si>
    <t>Elavhõbe</t>
  </si>
  <si>
    <t>7440-38-2</t>
  </si>
  <si>
    <t>Arseen</t>
  </si>
  <si>
    <t>7440-47-3</t>
  </si>
  <si>
    <t>Kroom</t>
  </si>
  <si>
    <t>7440-50-8</t>
  </si>
  <si>
    <t>Vask</t>
  </si>
  <si>
    <t>7440-02-0</t>
  </si>
  <si>
    <t>Nikkel</t>
  </si>
  <si>
    <t>7440-66-6</t>
  </si>
  <si>
    <t>Tsink</t>
  </si>
  <si>
    <t>Polüklooritud dibenso-dioksiinid ja
dibensofuraanid (PCDD/PCDF)</t>
  </si>
  <si>
    <t>ng/GJ</t>
  </si>
  <si>
    <t>Benso(a)püreen</t>
  </si>
  <si>
    <t>Benso(b)fluoranteen</t>
  </si>
  <si>
    <t>Benso(k)fluoranteen</t>
  </si>
  <si>
    <t>Indeo(1,2,3-cd)püreen</t>
  </si>
  <si>
    <t>124-38-9</t>
  </si>
  <si>
    <t>Süsinikdioksiid</t>
  </si>
  <si>
    <t>B1</t>
  </si>
  <si>
    <t>GJ</t>
  </si>
  <si>
    <t>qc</t>
  </si>
  <si>
    <t>tC/TJ</t>
  </si>
  <si>
    <t xml:space="preserve">Kc </t>
  </si>
  <si>
    <t>Mc = 10-3 x B1 x qc x Kc=</t>
  </si>
  <si>
    <t>Mco = Mc x 3.664</t>
  </si>
  <si>
    <t>t/a</t>
  </si>
  <si>
    <t>Kütuse kulu t/a</t>
  </si>
  <si>
    <t>Kokku</t>
  </si>
  <si>
    <t>Põlevkiviõli</t>
  </si>
  <si>
    <t>Kütus</t>
  </si>
  <si>
    <t>Läbimõõt, D</t>
  </si>
  <si>
    <t>K1-: kütteseadme võimsus</t>
  </si>
  <si>
    <t>N=</t>
  </si>
  <si>
    <t>m</t>
  </si>
  <si>
    <t>V=</t>
  </si>
  <si>
    <t xml:space="preserve"> Nm3/s</t>
  </si>
  <si>
    <t>Liigõhutegur 6 %-lise hapniku sisalduse puhul:</t>
  </si>
  <si>
    <t>α=</t>
  </si>
  <si>
    <t>gaas ja vedelik - 3%, tahke - 6%</t>
  </si>
  <si>
    <t>Standardse 6%-lise hapniku sisalduse juures on gaaside mahtkulu:</t>
  </si>
  <si>
    <t>Vg=</t>
  </si>
  <si>
    <t>Nm3/s</t>
  </si>
  <si>
    <t>C</t>
  </si>
  <si>
    <t xml:space="preserve"> m3/s</t>
  </si>
  <si>
    <t>Vt=</t>
  </si>
  <si>
    <t>Leiame suitsugaaside joonkiiruse v kasutades valemit v = 4* ω / ( π * d2)</t>
  </si>
  <si>
    <t xml:space="preserve"> m/s</t>
  </si>
  <si>
    <t>D=</t>
  </si>
  <si>
    <t>V0=</t>
  </si>
  <si>
    <t>Mso2=</t>
  </si>
  <si>
    <t>t</t>
  </si>
  <si>
    <t>g/s</t>
  </si>
  <si>
    <t>Pumba tootlikus</t>
  </si>
  <si>
    <t>m3/h</t>
  </si>
  <si>
    <t>m3</t>
  </si>
  <si>
    <t>Maht</t>
  </si>
  <si>
    <t>Kõrgus H</t>
  </si>
  <si>
    <t>Läbimõõt D</t>
  </si>
  <si>
    <t>Molekulmass</t>
  </si>
  <si>
    <t xml:space="preserve">Pumpamise aeg </t>
  </si>
  <si>
    <t>NR plaanil</t>
  </si>
  <si>
    <t>Mahuti maht</t>
  </si>
  <si>
    <t>Kütuse mahutisse pumpamise aeg</t>
  </si>
  <si>
    <t>Tankurite tootlikus</t>
  </si>
  <si>
    <t>Õhutusava kõrgus maapinnast</t>
  </si>
  <si>
    <t>Õhutusava läbimõõt</t>
  </si>
  <si>
    <t>Temperatuur</t>
  </si>
  <si>
    <t>Joonkiirus</t>
  </si>
  <si>
    <t>Koordinaadid</t>
  </si>
  <si>
    <t>°C</t>
  </si>
  <si>
    <t>m/s</t>
  </si>
  <si>
    <t>X</t>
  </si>
  <si>
    <t>Y</t>
  </si>
  <si>
    <t>Diislikütus</t>
  </si>
  <si>
    <t>Bensiin</t>
  </si>
  <si>
    <t>Tihedus</t>
  </si>
  <si>
    <t>Tonni</t>
  </si>
  <si>
    <t>Liitrit/a</t>
  </si>
  <si>
    <t>Tuha sisaldus</t>
  </si>
  <si>
    <t>Nr plaanil</t>
  </si>
  <si>
    <t>Väljumis kõrgus</t>
  </si>
  <si>
    <t>Autotsistern</t>
  </si>
  <si>
    <t>Lõhkeaine</t>
  </si>
  <si>
    <t>h</t>
  </si>
  <si>
    <t>H2S</t>
  </si>
  <si>
    <t>Senatel Powerfrag (läbindus)</t>
  </si>
  <si>
    <t>Subtek Charge (koristus)</t>
  </si>
  <si>
    <t>l/min</t>
  </si>
  <si>
    <t>0,001 – teisendustegur milligrammidest grammideks;</t>
  </si>
  <si>
    <t>Raske kütteõli ja põlevkiviõli hoiustamisel soojustamata mahutite hingamisel välisõhku väljutatava vesiniksulfiidi ja metüülmerkaptaani heitkogus (LS) grammides arvutatakse järgmist valemit kasutades:</t>
  </si>
  <si>
    <t>t – päevade arv vaadeldaval perioodil;</t>
  </si>
  <si>
    <t>D – kütusemahuti diameeter, m;</t>
  </si>
  <si>
    <t>k – kütusemahuti keskmine täituvus protsentides. Kui täituvusprotsent ei ole teada, siis kasutada k väärtust 0,5 (50%).</t>
  </si>
  <si>
    <t>:</t>
  </si>
  <si>
    <t>M – molekulmass, g/mol, täpsemate andmete puudumise korral kasutada käesoleva määruse lisas 1 esitatud andmeid;</t>
  </si>
  <si>
    <t>P – küllastunud aurude rõhk vastavalt naftasaaduse sertifikaadikohastele andmetele või nende puudumisel käesoleva määruse lisas 1 esitatule, kPa;</t>
  </si>
  <si>
    <t>Põlevkiviõli laadimisel mahutitest välisõhku väljutatavate LOÜ heitkoguste määramine (§4)</t>
  </si>
  <si>
    <t>tundi/a</t>
  </si>
  <si>
    <t>Põlevkiviõli hoiustamisel soojustamata mahutite hingamisel välisõhku väljutatavate lenduvate orgaaniliste ühendite heitkoguste määramine (§3)</t>
  </si>
  <si>
    <t>Põlevkiviõli hoiustamisel soojustamata mahutite hingamisel välisõhku väljutatavate vesiniksulfiidi ja metüülmerkaptaani heitkoguste määramine (§10)</t>
  </si>
  <si>
    <t>Põlevkiviõli laadimisel välisõhku väljutatavate vesiniksulfiidi ja metüülmerkaptaani heitkoguste määramine (§9)</t>
  </si>
  <si>
    <t>0,0253 – teisendustegur SI ühikuteks;</t>
  </si>
  <si>
    <t>k – kütusemahuti keskmine täituvus protsentides. Kui täituvusprotsent ei ole teada, siis kasutada k väärtust 0,5 (mahuti täituvus 50%).</t>
  </si>
  <si>
    <t>eff – heite vähendamismeetme efektiivsus (%), vähendamismeetme puudumise korral valemi osa väärtuseks 1</t>
  </si>
  <si>
    <t>Naftasaaduste ja põlevkiviõli laadimisel ja soojustamata mahutite hingamisel välisõhku väljutatavate aromaatsete süsivesinike heitkoguste määramine</t>
  </si>
  <si>
    <t>Naftasaaduste ja põlevkiviõli laadimisel ning soojustamata mahutite hingamisel välisõhku väljutatavate aromaatsete süsivesinike summaarse heitkoguse määramiseks täpsemate andmete puudumise korral korrutatakse arvutatud lenduvate orgaaniliste ühendite summaarne heitkogus koefitsiendiga 0,03.</t>
  </si>
  <si>
    <t>Aromaatsed süsivesinikud käesoleva määruse tähenduses on summaarselt benseen, tolueen, etüülbenseen ja ksüleen.</t>
  </si>
  <si>
    <t>Aromaatsed süsivesinikud</t>
  </si>
  <si>
    <t>Laadimisel</t>
  </si>
  <si>
    <t>Hoiustamisel</t>
  </si>
  <si>
    <t>Koefitsent</t>
  </si>
  <si>
    <t>eff – heite vähendamismeetme efektiivsus (%), vähendamismeetme puudumise korral valemi osa võetakse 1</t>
  </si>
  <si>
    <t>eff – heite vähendamismeetme efektiivsus (%), vähendamismeetme puudumise korral valemi osa arvestatakse 1</t>
  </si>
  <si>
    <t>Põlevkiviõli tihedus</t>
  </si>
  <si>
    <t>Metüülmerkaptaani</t>
  </si>
  <si>
    <t>Metüülmerkaptaani, g</t>
  </si>
  <si>
    <r>
      <t>H</t>
    </r>
    <r>
      <rPr>
        <sz val="8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S, g</t>
    </r>
  </si>
  <si>
    <t>eff – heite vähendamismeetme efektiivsus (%), vähendamismeetme puudumise korral valemi osa väärtuseks arvestatakse 1</t>
  </si>
  <si>
    <t>Laadimine</t>
  </si>
  <si>
    <t>LOÜ</t>
  </si>
  <si>
    <t>Metüülmerkaptaan</t>
  </si>
  <si>
    <r>
      <t>H</t>
    </r>
    <r>
      <rPr>
        <sz val="8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S</t>
    </r>
  </si>
  <si>
    <r>
      <t>Raske kütteõli ja põlevkiviõli laadimisel välisõhku väljutatava vesiniksulfiidi ja metüülmerkaptaani heitkogus (L</t>
    </r>
    <r>
      <rPr>
        <vertAlign val="subscript"/>
        <sz val="11"/>
        <color theme="1"/>
        <rFont val="Calibri"/>
        <family val="2"/>
        <scheme val="minor"/>
      </rPr>
      <t>V</t>
    </r>
    <r>
      <rPr>
        <sz val="11"/>
        <color theme="1"/>
        <rFont val="Calibri"/>
        <family val="2"/>
        <scheme val="minor"/>
      </rPr>
      <t>) grammides arvutatakse järgmist valemit kasutades:</t>
    </r>
  </si>
  <si>
    <r>
      <t>Q – laadimiskäive vaadeldaval perioodil, 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;</t>
    </r>
  </si>
  <si>
    <r>
      <t>E</t>
    </r>
    <r>
      <rPr>
        <vertAlign val="subscript"/>
        <sz val="11"/>
        <color theme="1"/>
        <rFont val="Calibri"/>
        <family val="2"/>
        <scheme val="minor"/>
      </rPr>
      <t>V</t>
    </r>
    <r>
      <rPr>
        <sz val="11"/>
        <color theme="1"/>
        <rFont val="Calibri"/>
        <family val="2"/>
        <scheme val="minor"/>
      </rPr>
      <t> – eriheide, mg/m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, täpsemate andmete puudumisel kasutada käesoleva määruse lisas 6 esitatud andmeid.</t>
    </r>
  </si>
  <si>
    <r>
      <t>V</t>
    </r>
    <r>
      <rPr>
        <vertAlign val="subscript"/>
        <sz val="11"/>
        <color theme="1"/>
        <rFont val="Calibri"/>
        <family val="2"/>
        <scheme val="minor"/>
      </rPr>
      <t>V</t>
    </r>
    <r>
      <rPr>
        <sz val="11"/>
        <color theme="1"/>
        <rFont val="Calibri"/>
        <family val="2"/>
        <scheme val="minor"/>
      </rPr>
      <t> – kütusemahuti aururuumi maht, 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, leitud käesoleva määruse § 3 lõike 2 arvutusvalemi kohaselt;</t>
    </r>
  </si>
  <si>
    <r>
      <t>E</t>
    </r>
    <r>
      <rPr>
        <vertAlign val="subscript"/>
        <sz val="11"/>
        <color theme="1"/>
        <rFont val="Calibri"/>
        <family val="2"/>
        <scheme val="minor"/>
      </rPr>
      <t>V</t>
    </r>
    <r>
      <rPr>
        <sz val="11"/>
        <color theme="1"/>
        <rFont val="Calibri"/>
        <family val="2"/>
        <scheme val="minor"/>
      </rPr>
      <t> – eriheide, mg/m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, täpsemate andmete puudumisel kasutada käesoleva määruse lisas 6 esitatud andmeid;</t>
    </r>
  </si>
  <si>
    <r>
      <t>K</t>
    </r>
    <r>
      <rPr>
        <vertAlign val="subscript"/>
        <sz val="11"/>
        <color theme="1"/>
        <rFont val="Calibri"/>
        <family val="2"/>
        <scheme val="minor"/>
      </rPr>
      <t>E</t>
    </r>
    <r>
      <rPr>
        <sz val="11"/>
        <color theme="1"/>
        <rFont val="Calibri"/>
        <family val="2"/>
        <scheme val="minor"/>
      </rPr>
      <t> – aururuumi paisumistegur, käesoleva määruse lisas 2 esitatu kohaselt;</t>
    </r>
  </si>
  <si>
    <r>
      <t>Kütusemahuti aururuumi maht (V</t>
    </r>
    <r>
      <rPr>
        <vertAlign val="subscript"/>
        <sz val="11"/>
        <color theme="1"/>
        <rFont val="Calibri"/>
        <family val="2"/>
        <scheme val="minor"/>
      </rPr>
      <t>V</t>
    </r>
    <r>
      <rPr>
        <sz val="11"/>
        <color theme="1"/>
        <rFont val="Calibri"/>
        <family val="2"/>
        <scheme val="minor"/>
      </rPr>
      <t>) kuupmeetrites arvutatakse järgmist valemit kasutades:</t>
    </r>
  </si>
  <si>
    <r>
      <t>V</t>
    </r>
    <r>
      <rPr>
        <vertAlign val="subscript"/>
        <sz val="11"/>
        <color theme="1"/>
        <rFont val="Calibri"/>
        <family val="2"/>
        <scheme val="minor"/>
      </rPr>
      <t>V</t>
    </r>
    <r>
      <rPr>
        <sz val="11"/>
        <color theme="1"/>
        <rFont val="Calibri"/>
        <family val="2"/>
        <scheme val="minor"/>
      </rPr>
      <t> = π × D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 × (H</t>
    </r>
    <r>
      <rPr>
        <vertAlign val="subscript"/>
        <sz val="11"/>
        <color theme="1"/>
        <rFont val="Calibri"/>
        <family val="2"/>
        <scheme val="minor"/>
      </rPr>
      <t>S</t>
    </r>
    <r>
      <rPr>
        <sz val="11"/>
        <color theme="1"/>
        <rFont val="Calibri"/>
        <family val="2"/>
        <scheme val="minor"/>
      </rPr>
      <t> – (H</t>
    </r>
    <r>
      <rPr>
        <vertAlign val="subscript"/>
        <sz val="11"/>
        <color theme="1"/>
        <rFont val="Calibri"/>
        <family val="2"/>
        <scheme val="minor"/>
      </rPr>
      <t>S</t>
    </r>
    <r>
      <rPr>
        <sz val="11"/>
        <color theme="1"/>
        <rFont val="Calibri"/>
        <family val="2"/>
        <scheme val="minor"/>
      </rPr>
      <t> × k))/4, kus</t>
    </r>
  </si>
  <si>
    <r>
      <t>H</t>
    </r>
    <r>
      <rPr>
        <vertAlign val="subscript"/>
        <sz val="11"/>
        <color theme="1"/>
        <rFont val="Calibri"/>
        <family val="2"/>
        <scheme val="minor"/>
      </rPr>
      <t>S</t>
    </r>
    <r>
      <rPr>
        <sz val="11"/>
        <color theme="1"/>
        <rFont val="Calibri"/>
        <family val="2"/>
        <scheme val="minor"/>
      </rPr>
      <t> – kütusemahuti kõrgus, m;</t>
    </r>
  </si>
  <si>
    <r>
      <t>Põlevkiviõli laadimisel mahutite täitmisest välisõhku väljutatavate lenduvate orgaaniliste ühendite heitkogus (L</t>
    </r>
    <r>
      <rPr>
        <vertAlign val="subscript"/>
        <sz val="8"/>
        <color rgb="FF202020"/>
        <rFont val="Calibri"/>
        <family val="2"/>
        <scheme val="minor"/>
      </rPr>
      <t>W</t>
    </r>
    <r>
      <rPr>
        <sz val="8"/>
        <color rgb="FF202020"/>
        <rFont val="Calibri"/>
        <family val="2"/>
        <scheme val="minor"/>
      </rPr>
      <t>) kilogrammides arvutatakse järgmist valemit kasutades:</t>
    </r>
  </si>
  <si>
    <r>
      <t>W</t>
    </r>
    <r>
      <rPr>
        <vertAlign val="subscript"/>
        <sz val="11"/>
        <color theme="1"/>
        <rFont val="Calibri"/>
        <family val="2"/>
        <scheme val="minor"/>
      </rPr>
      <t>V</t>
    </r>
    <r>
      <rPr>
        <sz val="11"/>
        <color theme="1"/>
        <rFont val="Calibri"/>
        <family val="2"/>
        <scheme val="minor"/>
      </rPr>
      <t> – aurude tihedus, kg/m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 leitud käesoleva määruse § 3 lõike 3 arvutusvalemi kohaselt;</t>
    </r>
  </si>
  <si>
    <r>
      <t>põlevkiviõli hoiustamisel soojustamata mahutite hingamisel välisõhku väljutatavate lenduvate orgaaniliste ühendite heitkogus (L</t>
    </r>
    <r>
      <rPr>
        <vertAlign val="subscript"/>
        <sz val="11"/>
        <color theme="1"/>
        <rFont val="Calibri"/>
        <family val="2"/>
        <scheme val="minor"/>
      </rPr>
      <t>S</t>
    </r>
    <r>
      <rPr>
        <sz val="11"/>
        <color theme="1"/>
        <rFont val="Calibri"/>
        <family val="2"/>
        <scheme val="minor"/>
      </rPr>
      <t>) kilogrammides arvutatakse järgmist valemit kasutades:</t>
    </r>
  </si>
  <si>
    <r>
      <t>V</t>
    </r>
    <r>
      <rPr>
        <vertAlign val="subscript"/>
        <sz val="11"/>
        <color theme="1"/>
        <rFont val="Calibri"/>
        <family val="2"/>
        <scheme val="minor"/>
      </rPr>
      <t>V</t>
    </r>
    <r>
      <rPr>
        <sz val="11"/>
        <color theme="1"/>
        <rFont val="Calibri"/>
        <family val="2"/>
        <scheme val="minor"/>
      </rPr>
      <t> – kütusemahuti aururuumi maht, 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;</t>
    </r>
  </si>
  <si>
    <r>
      <t>W</t>
    </r>
    <r>
      <rPr>
        <vertAlign val="subscript"/>
        <sz val="11"/>
        <color theme="1"/>
        <rFont val="Calibri"/>
        <family val="2"/>
        <scheme val="minor"/>
      </rPr>
      <t>V</t>
    </r>
    <r>
      <rPr>
        <sz val="11"/>
        <color theme="1"/>
        <rFont val="Calibri"/>
        <family val="2"/>
        <scheme val="minor"/>
      </rPr>
      <t> – aurude tihedus, kg/m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;</t>
    </r>
  </si>
  <si>
    <r>
      <t>K</t>
    </r>
    <r>
      <rPr>
        <vertAlign val="subscript"/>
        <sz val="11"/>
        <color theme="1"/>
        <rFont val="Calibri"/>
        <family val="2"/>
        <scheme val="minor"/>
      </rPr>
      <t>S</t>
    </r>
    <r>
      <rPr>
        <sz val="11"/>
        <color theme="1"/>
        <rFont val="Calibri"/>
        <family val="2"/>
        <scheme val="minor"/>
      </rPr>
      <t> – ventileeritud aurude küllastumistegur;</t>
    </r>
  </si>
  <si>
    <r>
      <t>Põlevkiviõli aurude tihedus (W</t>
    </r>
    <r>
      <rPr>
        <b/>
        <vertAlign val="subscript"/>
        <sz val="10"/>
        <color rgb="FF202020"/>
        <rFont val="Calibri"/>
        <family val="2"/>
        <scheme val="minor"/>
      </rPr>
      <t>V</t>
    </r>
    <r>
      <rPr>
        <b/>
        <sz val="10"/>
        <color rgb="FF202020"/>
        <rFont val="Calibri"/>
        <family val="2"/>
        <scheme val="minor"/>
      </rPr>
      <t>) kilogrammides kuupmeetri kohta arvutatakse järgmist valemit kasutades:</t>
    </r>
  </si>
  <si>
    <r>
      <t>8,314 – ideaalgaasi konstant, 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 Pa/mol K;</t>
    </r>
  </si>
  <si>
    <r>
      <t>T</t>
    </r>
    <r>
      <rPr>
        <vertAlign val="subscript"/>
        <sz val="11"/>
        <color theme="1"/>
        <rFont val="Calibri"/>
        <family val="2"/>
        <scheme val="minor"/>
      </rPr>
      <t>V</t>
    </r>
    <r>
      <rPr>
        <sz val="11"/>
        <color theme="1"/>
        <rFont val="Calibri"/>
        <family val="2"/>
        <scheme val="minor"/>
      </rPr>
      <t> – aurude keskmine temperatuur, °K, täpsemate andmete puudumise korral kasutada käesoleva määruse lisas 2 esitatud andmeid.</t>
    </r>
  </si>
  <si>
    <r>
      <t>Ventileeritud auru küllastumistegur (K</t>
    </r>
    <r>
      <rPr>
        <vertAlign val="subscript"/>
        <sz val="11"/>
        <color theme="1"/>
        <rFont val="Calibri"/>
        <family val="2"/>
        <scheme val="minor"/>
      </rPr>
      <t>S</t>
    </r>
    <r>
      <rPr>
        <sz val="11"/>
        <color theme="1"/>
        <rFont val="Calibri"/>
        <family val="2"/>
        <scheme val="minor"/>
      </rPr>
      <t>) arvutatakse järgmist valemit kasutades:</t>
    </r>
  </si>
  <si>
    <r>
      <t>K</t>
    </r>
    <r>
      <rPr>
        <vertAlign val="subscript"/>
        <sz val="11"/>
        <color theme="1"/>
        <rFont val="Calibri"/>
        <family val="2"/>
        <scheme val="minor"/>
      </rPr>
      <t>S</t>
    </r>
    <r>
      <rPr>
        <sz val="11"/>
        <color theme="1"/>
        <rFont val="Calibri"/>
        <family val="2"/>
        <scheme val="minor"/>
      </rPr>
      <t> = 1 / (1 + (0,0253 × P × (H</t>
    </r>
    <r>
      <rPr>
        <vertAlign val="subscript"/>
        <sz val="11"/>
        <color theme="1"/>
        <rFont val="Calibri"/>
        <family val="2"/>
        <scheme val="minor"/>
      </rPr>
      <t>S</t>
    </r>
    <r>
      <rPr>
        <sz val="11"/>
        <color theme="1"/>
        <rFont val="Calibri"/>
        <family val="2"/>
        <scheme val="minor"/>
      </rPr>
      <t> – (H</t>
    </r>
    <r>
      <rPr>
        <vertAlign val="subscript"/>
        <sz val="11"/>
        <color theme="1"/>
        <rFont val="Calibri"/>
        <family val="2"/>
        <scheme val="minor"/>
      </rPr>
      <t>S</t>
    </r>
    <r>
      <rPr>
        <sz val="11"/>
        <color theme="1"/>
        <rFont val="Calibri"/>
        <family val="2"/>
        <scheme val="minor"/>
      </rPr>
      <t xml:space="preserve"> × k)))), </t>
    </r>
    <r>
      <rPr>
        <sz val="8"/>
        <color theme="1"/>
        <rFont val="Calibri"/>
        <family val="2"/>
        <scheme val="minor"/>
      </rPr>
      <t>kus</t>
    </r>
  </si>
  <si>
    <t>Hoiustamine</t>
  </si>
  <si>
    <t>kg/a</t>
  </si>
  <si>
    <t>Aromaatsed süsiv.</t>
  </si>
  <si>
    <t>s/a</t>
  </si>
  <si>
    <t>g/a</t>
  </si>
  <si>
    <t>s/laadimine</t>
  </si>
  <si>
    <t>Bensiini ja diislikütuse laadimisel teenindusjaama mahutitesse ja teenindusjaama mahutite hingamisel välisõhku väljutatavate LOÜ heitkoguste määramine</t>
  </si>
  <si>
    <r>
      <t>Bensiini ja diislikütuse laadimisel teenindusjaama mahutitesse ja teenindusjaama mahutite hingamisel välisõhku väljutatavate lenduvate orgaaniliste ühendite heitkogus (L</t>
    </r>
    <r>
      <rPr>
        <vertAlign val="subscript"/>
        <sz val="8"/>
        <color rgb="FF202020"/>
        <rFont val="Arial"/>
        <family val="2"/>
      </rPr>
      <t>t</t>
    </r>
    <r>
      <rPr>
        <sz val="8"/>
        <color rgb="FF202020"/>
        <rFont val="Arial"/>
        <family val="2"/>
      </rPr>
      <t>) kilogrammides arvutatakse järgmist valemit kasutades:</t>
    </r>
  </si>
  <si>
    <r>
      <t>L</t>
    </r>
    <r>
      <rPr>
        <vertAlign val="subscript"/>
        <sz val="12"/>
        <color theme="1"/>
        <rFont val="Calibri"/>
        <family val="2"/>
        <scheme val="minor"/>
      </rPr>
      <t>T</t>
    </r>
    <r>
      <rPr>
        <sz val="12"/>
        <color theme="1"/>
        <rFont val="Calibri"/>
        <family val="2"/>
        <scheme val="minor"/>
      </rPr>
      <t> = 0,001 x (E</t>
    </r>
    <r>
      <rPr>
        <vertAlign val="subscript"/>
        <sz val="12"/>
        <color theme="1"/>
        <rFont val="Calibri"/>
        <family val="2"/>
        <scheme val="minor"/>
      </rPr>
      <t>T</t>
    </r>
    <r>
      <rPr>
        <sz val="12"/>
        <color theme="1"/>
        <rFont val="Calibri"/>
        <family val="2"/>
        <scheme val="minor"/>
      </rPr>
      <t> + E</t>
    </r>
    <r>
      <rPr>
        <vertAlign val="subscript"/>
        <sz val="12"/>
        <color theme="1"/>
        <rFont val="Calibri"/>
        <family val="2"/>
        <scheme val="minor"/>
      </rPr>
      <t>H</t>
    </r>
    <r>
      <rPr>
        <sz val="12"/>
        <color theme="1"/>
        <rFont val="Calibri"/>
        <family val="2"/>
        <scheme val="minor"/>
      </rPr>
      <t>) x Q, kus</t>
    </r>
  </si>
  <si>
    <t>0,001 – teisendustegur grammidest kilogrammideks;</t>
  </si>
  <si>
    <r>
      <t>E</t>
    </r>
    <r>
      <rPr>
        <vertAlign val="subscript"/>
        <sz val="8"/>
        <color theme="1"/>
        <rFont val="Calibri"/>
        <family val="2"/>
        <scheme val="minor"/>
      </rPr>
      <t>T</t>
    </r>
    <r>
      <rPr>
        <sz val="8"/>
        <color theme="1"/>
        <rFont val="Calibri"/>
        <family val="2"/>
        <scheme val="minor"/>
      </rPr>
      <t> – eriheide, g/m</t>
    </r>
    <r>
      <rPr>
        <vertAlign val="superscript"/>
        <sz val="8"/>
        <color theme="1"/>
        <rFont val="Calibri"/>
        <family val="2"/>
        <scheme val="minor"/>
      </rPr>
      <t>3</t>
    </r>
    <r>
      <rPr>
        <sz val="8"/>
        <color theme="1"/>
        <rFont val="Calibri"/>
        <family val="2"/>
        <scheme val="minor"/>
      </rPr>
      <t>, käesoleva määruse lisas 4 esitatu kohaselt;</t>
    </r>
  </si>
  <si>
    <r>
      <t>E</t>
    </r>
    <r>
      <rPr>
        <vertAlign val="subscript"/>
        <sz val="8"/>
        <color theme="1"/>
        <rFont val="Calibri"/>
        <family val="2"/>
        <scheme val="minor"/>
      </rPr>
      <t>H</t>
    </r>
    <r>
      <rPr>
        <sz val="8"/>
        <color theme="1"/>
        <rFont val="Calibri"/>
        <family val="2"/>
        <scheme val="minor"/>
      </rPr>
      <t> – eriheide, g/m</t>
    </r>
    <r>
      <rPr>
        <vertAlign val="superscript"/>
        <sz val="8"/>
        <color theme="1"/>
        <rFont val="Calibri"/>
        <family val="2"/>
        <scheme val="minor"/>
      </rPr>
      <t>3</t>
    </r>
    <r>
      <rPr>
        <sz val="8"/>
        <color theme="1"/>
        <rFont val="Calibri"/>
        <family val="2"/>
        <scheme val="minor"/>
      </rPr>
      <t>, käesoleva määruse lisas 4 esitatu kohaselt.</t>
    </r>
  </si>
  <si>
    <t xml:space="preserve">Lenduvad orgaanilised ühendid, kg </t>
  </si>
  <si>
    <t>Sõidukite tankimisel välisõhku väljutatavate LOÜ heitkoguste määramine</t>
  </si>
  <si>
    <r>
      <t>L</t>
    </r>
    <r>
      <rPr>
        <vertAlign val="subscript"/>
        <sz val="12"/>
        <color theme="1"/>
        <rFont val="Calibri"/>
        <family val="2"/>
        <scheme val="minor"/>
      </rPr>
      <t>A</t>
    </r>
    <r>
      <rPr>
        <sz val="12"/>
        <color theme="1"/>
        <rFont val="Calibri"/>
        <family val="2"/>
        <scheme val="minor"/>
      </rPr>
      <t> = 0,001 x (E</t>
    </r>
    <r>
      <rPr>
        <vertAlign val="subscript"/>
        <sz val="12"/>
        <color theme="1"/>
        <rFont val="Calibri"/>
        <family val="2"/>
        <scheme val="minor"/>
      </rPr>
      <t>A</t>
    </r>
    <r>
      <rPr>
        <sz val="12"/>
        <color theme="1"/>
        <rFont val="Calibri"/>
        <family val="2"/>
        <scheme val="minor"/>
      </rPr>
      <t> + E</t>
    </r>
    <r>
      <rPr>
        <vertAlign val="subscript"/>
        <sz val="12"/>
        <color theme="1"/>
        <rFont val="Calibri"/>
        <family val="2"/>
        <scheme val="minor"/>
      </rPr>
      <t>LK</t>
    </r>
    <r>
      <rPr>
        <sz val="12"/>
        <color theme="1"/>
        <rFont val="Calibri"/>
        <family val="2"/>
        <scheme val="minor"/>
      </rPr>
      <t>) x Q, kus</t>
    </r>
  </si>
  <si>
    <r>
      <t>Q – laadimiskäive vaadeldaval perioodil, m</t>
    </r>
    <r>
      <rPr>
        <vertAlign val="superscript"/>
        <sz val="8"/>
        <color rgb="FF202020"/>
        <rFont val="Calibri"/>
        <family val="2"/>
        <scheme val="minor"/>
      </rPr>
      <t>3</t>
    </r>
    <r>
      <rPr>
        <sz val="8"/>
        <color rgb="FF202020"/>
        <rFont val="Calibri"/>
        <family val="2"/>
        <scheme val="minor"/>
      </rPr>
      <t>;</t>
    </r>
  </si>
  <si>
    <r>
      <t>E</t>
    </r>
    <r>
      <rPr>
        <vertAlign val="subscript"/>
        <sz val="8"/>
        <color rgb="FF202020"/>
        <rFont val="Calibri"/>
        <family val="2"/>
        <scheme val="minor"/>
      </rPr>
      <t>A</t>
    </r>
    <r>
      <rPr>
        <sz val="8"/>
        <color rgb="FF202020"/>
        <rFont val="Calibri"/>
        <family val="2"/>
        <scheme val="minor"/>
      </rPr>
      <t> – eriheide, g/m</t>
    </r>
    <r>
      <rPr>
        <vertAlign val="superscript"/>
        <sz val="8"/>
        <color rgb="FF202020"/>
        <rFont val="Calibri"/>
        <family val="2"/>
        <scheme val="minor"/>
      </rPr>
      <t>3</t>
    </r>
    <r>
      <rPr>
        <sz val="8"/>
        <color rgb="FF202020"/>
        <rFont val="Calibri"/>
        <family val="2"/>
        <scheme val="minor"/>
      </rPr>
      <t>, käesoleva määruse lisas 5 esitatu kohaselt;</t>
    </r>
  </si>
  <si>
    <r>
      <t>E</t>
    </r>
    <r>
      <rPr>
        <vertAlign val="subscript"/>
        <sz val="8"/>
        <color rgb="FF202020"/>
        <rFont val="Calibri"/>
        <family val="2"/>
        <scheme val="minor"/>
      </rPr>
      <t>LK</t>
    </r>
    <r>
      <rPr>
        <sz val="8"/>
        <color rgb="FF202020"/>
        <rFont val="Calibri"/>
        <family val="2"/>
        <scheme val="minor"/>
      </rPr>
      <t> – eriheide, g/m</t>
    </r>
    <r>
      <rPr>
        <vertAlign val="superscript"/>
        <sz val="8"/>
        <color rgb="FF202020"/>
        <rFont val="Calibri"/>
        <family val="2"/>
        <scheme val="minor"/>
      </rPr>
      <t>3</t>
    </r>
    <r>
      <rPr>
        <sz val="8"/>
        <color rgb="FF202020"/>
        <rFont val="Calibri"/>
        <family val="2"/>
        <scheme val="minor"/>
      </rPr>
      <t>, käesoleva määruse lisas 5 esitatu kohaselt.</t>
    </r>
  </si>
  <si>
    <t>Naftasaaduste laadimisel ja soojustamata mahutite hingamisel välisõhku väljutatavate aromaatsete süsivesinike heitkoguste määramine</t>
  </si>
  <si>
    <r>
      <t>  </t>
    </r>
    <r>
      <rPr>
        <sz val="8"/>
        <color rgb="FF202020"/>
        <rFont val="Arial"/>
        <family val="2"/>
      </rPr>
      <t xml:space="preserve">(1) Naftasaaduste ja põlevkiviõli laadimisel ning soojustamata mahutite hingamisel välisõhku väljutatavate aromaatsete süsivesinike summaarse heitkoguse määramiseks täpsemate andmete puudumise korral korrutatakse arvutatud lenduvate orgaaniliste ühendite summaarne heitkogus koefitsiendiga </t>
    </r>
  </si>
  <si>
    <r>
      <t>  </t>
    </r>
    <r>
      <rPr>
        <sz val="8"/>
        <color rgb="FF202020"/>
        <rFont val="Arial"/>
        <family val="2"/>
      </rPr>
      <t>(2) Aromaatsed süsivesinikud käesoleva määruse tähenduses on summaarselt benseen, tolueen, etüülbenseen ja ksüleen.</t>
    </r>
  </si>
  <si>
    <t>kokku</t>
  </si>
  <si>
    <t>Diislikütus 50m3 mahuti</t>
  </si>
  <si>
    <t>K1</t>
  </si>
  <si>
    <t>Joonkiirus m/s</t>
  </si>
  <si>
    <t>Mahtkiirus eeltoodud temperatuuril on järgmine:</t>
  </si>
  <si>
    <t xml:space="preserve">Väljuvate suitsugaaside temperatuur on hinnanguliselt  </t>
  </si>
  <si>
    <t>Korstna läbimõõt</t>
  </si>
  <si>
    <t>Mark</t>
  </si>
  <si>
    <t>Kesk</t>
  </si>
  <si>
    <t xml:space="preserve">Kütus </t>
  </si>
  <si>
    <t>Mhuti nr</t>
  </si>
  <si>
    <t>K2</t>
  </si>
  <si>
    <t>K3</t>
  </si>
  <si>
    <t>K2 K3</t>
  </si>
  <si>
    <t>Kütuse kulu aastas</t>
  </si>
  <si>
    <t>t/tsistern</t>
  </si>
  <si>
    <t>Kokku katlad</t>
  </si>
  <si>
    <t>Kütuse jaotus katlad</t>
  </si>
  <si>
    <t>B1= (GJ)</t>
  </si>
  <si>
    <t>Põlevkiviõli kogus, t/a</t>
  </si>
  <si>
    <t>Kütuse kuivaine stöhhiomeetrilisel põlemisel tekkiv ligikaudne kogus kuivi suitsugaase energiaühiku kohta on 0,25 Nm3/MJ.</t>
  </si>
  <si>
    <t>Liidame mahtkiirused ja arvutame joonkiiruse</t>
  </si>
  <si>
    <t>V9</t>
  </si>
  <si>
    <t>Koond K2</t>
  </si>
  <si>
    <t>Koond K3</t>
  </si>
  <si>
    <t>V10</t>
  </si>
  <si>
    <t>V11</t>
  </si>
  <si>
    <t>50/20</t>
  </si>
  <si>
    <t>V9.1</t>
  </si>
  <si>
    <t>Bensiin V9.1</t>
  </si>
  <si>
    <t>Diislikütus V9</t>
  </si>
  <si>
    <t>Diislikütus V10</t>
  </si>
  <si>
    <t>Diislikütus V11</t>
  </si>
  <si>
    <t>Bensiin 10m3 mahuti</t>
  </si>
  <si>
    <t>Diislikütus 10m3 mahuti</t>
  </si>
  <si>
    <t>Aromaatsed süsivesinikud, kg</t>
  </si>
  <si>
    <t>Lenduvad orgaanilised ühendid, t/a</t>
  </si>
  <si>
    <t>Aromaatsed süsivesinikud, t/a</t>
  </si>
  <si>
    <t>Lenduvad orgaanilised ühendid, g/s</t>
  </si>
  <si>
    <t>Aromaatsed süsivesinikud, g/s</t>
  </si>
  <si>
    <t>Sõidukite täitmise aeg kokku</t>
  </si>
  <si>
    <t>Mahuti täitmise aeg kokku</t>
  </si>
  <si>
    <t>Diislikütus 50/20m3 mahuti</t>
  </si>
  <si>
    <t xml:space="preserve">V1 </t>
  </si>
  <si>
    <t xml:space="preserve">V2 </t>
  </si>
  <si>
    <t>Kukkumine lattu</t>
  </si>
  <si>
    <t xml:space="preserve">V3 </t>
  </si>
  <si>
    <t>Aheraine kukkumine autokasti</t>
  </si>
  <si>
    <t xml:space="preserve">V4 </t>
  </si>
  <si>
    <t>Aheraine kukkumine lattu</t>
  </si>
  <si>
    <t>V5</t>
  </si>
  <si>
    <t>Killustiku kukkumine lattu</t>
  </si>
  <si>
    <t>V6</t>
  </si>
  <si>
    <t>Killustiku kallamine eraldi kuhja</t>
  </si>
  <si>
    <t>Kukkumine kliendi transpordile</t>
  </si>
  <si>
    <t>V7</t>
  </si>
  <si>
    <t>Metoodika:</t>
  </si>
  <si>
    <t>https://www3.epa.gov/ttn/chief/ap42/ch13/final/c13s0204.pdf</t>
  </si>
  <si>
    <t>Kukkumise eriheide kg/t:</t>
  </si>
  <si>
    <t>tuule kiirus</t>
  </si>
  <si>
    <t>niisukuse %</t>
  </si>
  <si>
    <t>k_pmsum=</t>
  </si>
  <si>
    <t>&lt;30µm</t>
  </si>
  <si>
    <t>k_pm10=</t>
  </si>
  <si>
    <t>&lt;10µm</t>
  </si>
  <si>
    <t>k_pm2.5=</t>
  </si>
  <si>
    <t>eriheide PMsum</t>
  </si>
  <si>
    <t>kg/t</t>
  </si>
  <si>
    <t>eriheide PM10</t>
  </si>
  <si>
    <t>eriheide PM2.5</t>
  </si>
  <si>
    <t>Tehnoloogiline protsess</t>
  </si>
  <si>
    <t xml:space="preserve">Materjali kogus, t/a </t>
  </si>
  <si>
    <t xml:space="preserve">Tahkete osakeste eriheide q, kg/t </t>
  </si>
  <si>
    <t>Aastane heitkogus Mp, t/a</t>
  </si>
  <si>
    <t>Hetkeline heitkogus Mpi, g/s</t>
  </si>
  <si>
    <t>Tööaeg</t>
  </si>
  <si>
    <t>PM2.5</t>
  </si>
  <si>
    <t>Pmsum</t>
  </si>
  <si>
    <t>3x4</t>
  </si>
  <si>
    <t>Ava</t>
  </si>
  <si>
    <t>V8</t>
  </si>
  <si>
    <t>Kukkumise eriheide põlevkivil</t>
  </si>
  <si>
    <t>Kukkumise eriheide killustik</t>
  </si>
  <si>
    <t>https://www.envir.ee/sites/default/files/eesti_p6levkivi_energeetilise_kasutamise_pvt_jareldused.pdf</t>
  </si>
  <si>
    <t>Kukkumise eriheide aheraine</t>
  </si>
  <si>
    <t>Tööaeg päevas</t>
  </si>
  <si>
    <t>3.3.1</t>
  </si>
  <si>
    <t xml:space="preserve">𝐸𝑇𝑆𝑃=𝑘𝑑−𝑇𝑆𝑃×𝑁ℎ𝑜𝑙𝑒+𝑘𝑏 × 𝑆^1.5×𝑁𝑏𝑙𝑎𝑠𝑡 </t>
  </si>
  <si>
    <t xml:space="preserve">𝐸𝑃𝑀10=𝑘𝑑−𝑃𝑀10×𝑁ℎ𝑜𝑙𝑒+𝑘𝑏×𝑘𝑠𝑓−𝑃𝑀10× 𝑆^1.5×𝑁𝑏𝑙𝑎𝑠𝑡 </t>
  </si>
  <si>
    <t>𝐸𝑃𝑀2.5=𝑘𝑑−𝑃𝑀2.5×𝑁ℎ𝑜𝑙𝑒+𝑘𝑏×𝑘𝑠𝑓−𝑃𝑀2.5× 𝑆^1.5×𝑁𝑏𝑙𝑎𝑠𝑡</t>
  </si>
  <si>
    <t>Üks lõhkamine</t>
  </si>
  <si>
    <t>𝑁ℎ𝑜𝑙𝑒</t>
  </si>
  <si>
    <t>puuritavate aukude arv</t>
  </si>
  <si>
    <t>𝑆</t>
  </si>
  <si>
    <t>lõhatav pindala, m2</t>
  </si>
  <si>
    <t>𝑁𝑏𝑙𝑎𝑠𝑡</t>
  </si>
  <si>
    <t>plahvatuste arv , tk</t>
  </si>
  <si>
    <t>kd-TSP</t>
  </si>
  <si>
    <t>eriheide, kg/auk</t>
  </si>
  <si>
    <t>kd-PM10</t>
  </si>
  <si>
    <t>kd-PM2.5</t>
  </si>
  <si>
    <t>kb</t>
  </si>
  <si>
    <t>koefitsent, kg/plahvatus/m3</t>
  </si>
  <si>
    <t>ksf-PM10</t>
  </si>
  <si>
    <t>mastaabitegur</t>
  </si>
  <si>
    <t>ksf-PM2.5</t>
  </si>
  <si>
    <t>Lõhkamise eriheited</t>
  </si>
  <si>
    <t>https://www.canada.ca/en/environment-climate-change/services/national-pollutant-release-inventory/report/pits-quarries-guide.html</t>
  </si>
  <si>
    <t>CO</t>
  </si>
  <si>
    <t>NO</t>
  </si>
  <si>
    <t>SO2</t>
  </si>
  <si>
    <t>Lõhatava ala laius</t>
  </si>
  <si>
    <t>Lõhatava ala pindala</t>
  </si>
  <si>
    <t>Töötundide arv aastas</t>
  </si>
  <si>
    <t>m2</t>
  </si>
  <si>
    <t>Kiiruse arvutamine K1</t>
  </si>
  <si>
    <t>Süsinikdioksiid koguse leidmine</t>
  </si>
  <si>
    <t>Vääveldioksiid koguse leidmine</t>
  </si>
  <si>
    <t>Põlevkiviõli kesk</t>
  </si>
  <si>
    <t>Lõhatava ala kõrgus</t>
  </si>
  <si>
    <t>Lõhkeaine kogus</t>
  </si>
  <si>
    <t>t/m3</t>
  </si>
  <si>
    <t>t/üks lõhkamine</t>
  </si>
  <si>
    <t>Lõhkeaine erikulu</t>
  </si>
  <si>
    <t>Kokku V1</t>
  </si>
  <si>
    <t>x</t>
  </si>
  <si>
    <t>y</t>
  </si>
  <si>
    <t>Osakesed PMsum</t>
  </si>
  <si>
    <t>Peenosakesed  PM10</t>
  </si>
  <si>
    <t>Eriti peened osakesed PM2,5</t>
  </si>
  <si>
    <t>K1 Katlamaja</t>
  </si>
  <si>
    <t>Kaks mahutit kokku</t>
  </si>
  <si>
    <t>Lenduvad orgaanilised ühendid</t>
  </si>
  <si>
    <t>K2 K3 Mahutid kokku</t>
  </si>
  <si>
    <t xml:space="preserve">V1 Vagunisse </t>
  </si>
  <si>
    <t>V2</t>
  </si>
  <si>
    <t>V3</t>
  </si>
  <si>
    <t>V4</t>
  </si>
  <si>
    <t>KOKKU</t>
  </si>
  <si>
    <t>&lt;1kg</t>
  </si>
  <si>
    <t>g/s m2</t>
  </si>
  <si>
    <t>Mäemassi väljatulek</t>
  </si>
  <si>
    <t>Lõhkamiste arv aastas, tk</t>
  </si>
  <si>
    <t>Ava, 3x4m</t>
  </si>
  <si>
    <t>Kokku mäemass</t>
  </si>
  <si>
    <t>tihedus</t>
  </si>
  <si>
    <t>Vaguni laadimine</t>
  </si>
  <si>
    <t>Üks lõhkamine, t</t>
  </si>
  <si>
    <t>Sasteaine</t>
  </si>
  <si>
    <t>Mäemassi erikaal</t>
  </si>
  <si>
    <t>arvutus kütuse väävlisisalduse järgi</t>
  </si>
  <si>
    <t>mg/s</t>
  </si>
  <si>
    <t>Raskemetallid</t>
  </si>
  <si>
    <t>22901:002:0224</t>
  </si>
  <si>
    <t>1 h</t>
  </si>
  <si>
    <t>24 h</t>
  </si>
  <si>
    <t>1 aasta</t>
  </si>
  <si>
    <t>8 tunni keskmine</t>
  </si>
  <si>
    <t>suhe</t>
  </si>
  <si>
    <t>Lõhkamistööde aeg, h/d</t>
  </si>
  <si>
    <t>µg/m3</t>
  </si>
  <si>
    <t>Keskmestamisaeg</t>
  </si>
  <si>
    <t>Piirväärtus, µg/m3</t>
  </si>
  <si>
    <t>Tankla nr 1.</t>
  </si>
  <si>
    <t>Tankla nr 2.</t>
  </si>
  <si>
    <t>Tankla nr 3.</t>
  </si>
  <si>
    <t>Üks mahuti 50m3</t>
  </si>
  <si>
    <t>Üks mahuti 10m3</t>
  </si>
  <si>
    <t>Tanklas on kolm mahutit: 50m3 diislile, 50m3 (reservis) ja 30m3 mahuti. 30 m3 mahuti jaguneb omakorda 20m3 diislile ja 10m3 bensiinile. Saasteallikatena käsitletakse koos diislimahuteid (V9) ja eraldi bensiinimahutit (V9.1)</t>
  </si>
  <si>
    <t>Soojusvõimsus, MWth</t>
  </si>
  <si>
    <t>m3/a</t>
  </si>
  <si>
    <t xml:space="preserve"> </t>
  </si>
  <si>
    <t>VmN</t>
  </si>
  <si>
    <t>Heitkogus, g/s</t>
  </si>
  <si>
    <t>mg/Nm3</t>
  </si>
  <si>
    <t>Keskmise võimsusega põletusseadme heite piirväärtus</t>
  </si>
  <si>
    <r>
      <t xml:space="preserve">Prog. Konts. </t>
    </r>
    <r>
      <rPr>
        <b/>
        <sz val="11"/>
        <color rgb="FFFF0000"/>
        <rFont val="Calibri"/>
        <family val="2"/>
        <scheme val="minor"/>
      </rPr>
      <t>NOx</t>
    </r>
  </si>
  <si>
    <r>
      <t xml:space="preserve">Prog. Konts. </t>
    </r>
    <r>
      <rPr>
        <b/>
        <sz val="11"/>
        <color rgb="FFFF0000"/>
        <rFont val="Calibri"/>
        <family val="2"/>
        <scheme val="minor"/>
      </rPr>
      <t>SO2</t>
    </r>
  </si>
  <si>
    <r>
      <t xml:space="preserve">Prog. Konts. </t>
    </r>
    <r>
      <rPr>
        <b/>
        <sz val="11"/>
        <color rgb="FFFF0000"/>
        <rFont val="Calibri"/>
        <family val="2"/>
        <scheme val="minor"/>
      </rPr>
      <t>Osakesed</t>
    </r>
  </si>
  <si>
    <t>Materjali kukkumine purustisse</t>
  </si>
  <si>
    <t>Konveier</t>
  </si>
  <si>
    <t>Sõelumine</t>
  </si>
  <si>
    <t>Kukkumine puistangusse</t>
  </si>
  <si>
    <t>Eriheited kg/t:</t>
  </si>
  <si>
    <t>Tegevus</t>
  </si>
  <si>
    <t>PMsum (Controlled)</t>
  </si>
  <si>
    <t>PM10 (Controlled)</t>
  </si>
  <si>
    <t>PM2.5 (Controlled)</t>
  </si>
  <si>
    <t>Purustatud ja sorteeritud materjali laadimine kallurile</t>
  </si>
  <si>
    <t>Purustamine</t>
  </si>
  <si>
    <t>Protsessi nimetus</t>
  </si>
  <si>
    <t>Tahkete osakeste eriheide q, kg/t</t>
  </si>
  <si>
    <t>Heitkogus t/a</t>
  </si>
  <si>
    <t>Hetkeline heitkogus g/s</t>
  </si>
  <si>
    <t>PM-sum</t>
  </si>
  <si>
    <t xml:space="preserve"> PM-10</t>
  </si>
  <si>
    <t>Tavapurustus (fraktsioonid 4-64 mm)</t>
  </si>
  <si>
    <t>Peenpurustus  fraktsioon 0-4 mm)</t>
  </si>
  <si>
    <t>Tavasõelumine (fraktsioon 4-64)</t>
  </si>
  <si>
    <t>Peensõelumine (fraktsioon 0-4)</t>
  </si>
  <si>
    <t>Konveiertransport (materjali liikumine)</t>
  </si>
  <si>
    <t>Killustik</t>
  </si>
  <si>
    <t>% kogutoodangust</t>
  </si>
  <si>
    <t xml:space="preserve"> fraktsioon 0−4 mm</t>
  </si>
  <si>
    <t xml:space="preserve">fraktsioon 4−16 mm </t>
  </si>
  <si>
    <t xml:space="preserve">fraktsioon 16−32 mm </t>
  </si>
  <si>
    <t xml:space="preserve">fraktsioon 32-64 mm </t>
  </si>
  <si>
    <t>V12 Kokku</t>
  </si>
  <si>
    <t>Lähtematerjali purustamine</t>
  </si>
  <si>
    <t>V12</t>
  </si>
  <si>
    <t>Polüklooritud dibenso-p-dioksiinid ja dibensofuraanid</t>
  </si>
  <si>
    <t>mg/a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</si>
</sst>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0.0000"/>
    <numFmt numFmtId="165" formatCode="0.000"/>
    <numFmt numFmtId="166" formatCode="0.0"/>
    <numFmt numFmtId="167" formatCode="0.00000"/>
    <numFmt numFmtId="168" formatCode="0.000000"/>
    <numFmt numFmtId="169" formatCode="#,##0.000000"/>
    <numFmt numFmtId="170" formatCode="#,##0.000"/>
    <numFmt numFmtId="171" formatCode="0.0000000"/>
    <numFmt numFmtId="172" formatCode="0.00000000"/>
  </numFmts>
  <fonts count="6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b/>
      <sz val="11"/>
      <color rgb="FF000000"/>
      <name val="Calibri"/>
      <family val="2"/>
      <charset val="186"/>
    </font>
    <font>
      <sz val="11"/>
      <color rgb="FF000000"/>
      <name val="Calibri"/>
      <family val="2"/>
      <charset val="186"/>
    </font>
    <font>
      <sz val="11"/>
      <color theme="1"/>
      <name val="Calibri"/>
      <family val="2"/>
      <charset val="186"/>
    </font>
    <font>
      <sz val="11"/>
      <color rgb="FF000000"/>
      <name val="Calibri"/>
      <family val="2"/>
      <charset val="186"/>
      <scheme val="minor"/>
    </font>
    <font>
      <b/>
      <sz val="11"/>
      <color rgb="FFFF0000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sz val="11"/>
      <name val="Calibri"/>
      <family val="2"/>
      <charset val="186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charset val="186"/>
      <scheme val="minor"/>
    </font>
    <font>
      <sz val="8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8"/>
      <color rgb="FF202020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sz val="8"/>
      <color rgb="FF202020"/>
      <name val="Calibri"/>
      <family val="2"/>
      <scheme val="minor"/>
    </font>
    <font>
      <vertAlign val="subscript"/>
      <sz val="8"/>
      <color rgb="FF202020"/>
      <name val="Calibri"/>
      <family val="2"/>
      <scheme val="minor"/>
    </font>
    <font>
      <b/>
      <sz val="10"/>
      <color rgb="FF202020"/>
      <name val="Calibri"/>
      <family val="2"/>
      <scheme val="minor"/>
    </font>
    <font>
      <b/>
      <vertAlign val="subscript"/>
      <sz val="10"/>
      <color rgb="FF202020"/>
      <name val="Calibri"/>
      <family val="2"/>
      <scheme val="minor"/>
    </font>
    <font>
      <b/>
      <sz val="10"/>
      <color rgb="FF0061AA"/>
      <name val="Calibri"/>
      <family val="2"/>
      <scheme val="minor"/>
    </font>
    <font>
      <b/>
      <sz val="11"/>
      <color rgb="FF202020"/>
      <name val="Calibri"/>
      <family val="2"/>
      <scheme val="minor"/>
    </font>
    <font>
      <sz val="11"/>
      <color rgb="FF4D5156"/>
      <name val="Calibri"/>
      <family val="2"/>
      <scheme val="minor"/>
    </font>
    <font>
      <sz val="8"/>
      <color rgb="FF202020"/>
      <name val="Arial"/>
      <family val="2"/>
    </font>
    <font>
      <vertAlign val="subscript"/>
      <sz val="8"/>
      <color rgb="FF202020"/>
      <name val="Arial"/>
      <family val="2"/>
    </font>
    <font>
      <b/>
      <sz val="12"/>
      <color rgb="FF202020"/>
      <name val="Calibri"/>
      <family val="2"/>
      <scheme val="minor"/>
    </font>
    <font>
      <vertAlign val="subscript"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vertAlign val="subscript"/>
      <sz val="8"/>
      <color theme="1"/>
      <name val="Calibri"/>
      <family val="2"/>
      <scheme val="minor"/>
    </font>
    <font>
      <vertAlign val="superscript"/>
      <sz val="8"/>
      <color theme="1"/>
      <name val="Calibri"/>
      <family val="2"/>
      <scheme val="minor"/>
    </font>
    <font>
      <sz val="11"/>
      <color rgb="FF202020"/>
      <name val="Calibri"/>
      <family val="2"/>
      <scheme val="minor"/>
    </font>
    <font>
      <vertAlign val="superscript"/>
      <sz val="8"/>
      <color rgb="FF202020"/>
      <name val="Calibri"/>
      <family val="2"/>
      <scheme val="minor"/>
    </font>
    <font>
      <b/>
      <sz val="10"/>
      <color rgb="FF000000"/>
      <name val="Arial"/>
      <family val="2"/>
    </font>
    <font>
      <sz val="8"/>
      <color rgb="FF0061AA"/>
      <name val="Arial"/>
      <family val="2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charset val="186"/>
      <scheme val="minor"/>
    </font>
    <font>
      <b/>
      <sz val="10"/>
      <color theme="1"/>
      <name val="Calibri"/>
      <family val="2"/>
      <charset val="186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charset val="186"/>
      <scheme val="minor"/>
    </font>
    <font>
      <u/>
      <sz val="10"/>
      <color theme="10"/>
      <name val="Calibri"/>
      <family val="2"/>
      <charset val="186"/>
      <scheme val="minor"/>
    </font>
    <font>
      <sz val="12"/>
      <name val="Arial"/>
      <family val="2"/>
    </font>
    <font>
      <sz val="12"/>
      <color rgb="FFFF0000"/>
      <name val="Calibri"/>
      <family val="2"/>
      <scheme val="minor"/>
    </font>
    <font>
      <b/>
      <sz val="9"/>
      <color indexed="81"/>
      <name val="Segoe UI"/>
      <family val="2"/>
    </font>
    <font>
      <sz val="10"/>
      <name val="Calibri"/>
      <family val="2"/>
      <scheme val="minor"/>
    </font>
    <font>
      <sz val="10"/>
      <name val="Arial"/>
      <family val="2"/>
      <charset val="204"/>
    </font>
    <font>
      <sz val="11"/>
      <color theme="6" tint="-0.499984740745262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b/>
      <sz val="10"/>
      <name val="Calibri"/>
      <family val="2"/>
      <scheme val="minor"/>
    </font>
    <font>
      <sz val="11"/>
      <color indexed="8"/>
      <name val="Calibri"/>
      <family val="2"/>
      <charset val="186"/>
    </font>
    <font>
      <b/>
      <sz val="11"/>
      <color indexed="8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1.5"/>
      <color indexed="8"/>
      <name val="Calibri"/>
      <family val="2"/>
      <scheme val="minor"/>
    </font>
    <font>
      <sz val="11.5"/>
      <color indexed="8"/>
      <name val="Calibri"/>
      <family val="2"/>
      <scheme val="minor"/>
    </font>
    <font>
      <sz val="11"/>
      <color rgb="FF00000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EAF1DD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3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38" fillId="0" borderId="0" applyNumberFormat="0" applyFill="0" applyBorder="0" applyAlignment="0" applyProtection="0"/>
    <xf numFmtId="0" fontId="51" fillId="0" borderId="0"/>
    <xf numFmtId="0" fontId="53" fillId="0" borderId="0"/>
    <xf numFmtId="0" fontId="55" fillId="0" borderId="0"/>
  </cellStyleXfs>
  <cellXfs count="441">
    <xf numFmtId="0" fontId="0" fillId="0" borderId="0" xfId="0"/>
    <xf numFmtId="0" fontId="0" fillId="0" borderId="1" xfId="0" applyBorder="1"/>
    <xf numFmtId="0" fontId="0" fillId="0" borderId="0" xfId="0" applyAlignment="1">
      <alignment horizontal="center"/>
    </xf>
    <xf numFmtId="0" fontId="0" fillId="0" borderId="1" xfId="0" applyBorder="1" applyAlignment="1">
      <alignment wrapText="1"/>
    </xf>
    <xf numFmtId="0" fontId="4" fillId="0" borderId="1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right" vertical="center" wrapText="1"/>
    </xf>
    <xf numFmtId="49" fontId="0" fillId="0" borderId="1" xfId="0" applyNumberFormat="1" applyBorder="1" applyAlignment="1">
      <alignment horizontal="left" vertical="center"/>
    </xf>
    <xf numFmtId="49" fontId="0" fillId="0" borderId="1" xfId="0" applyNumberForma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6" fillId="0" borderId="1" xfId="0" applyFont="1" applyBorder="1" applyAlignment="1">
      <alignment horizontal="left"/>
    </xf>
    <xf numFmtId="164" fontId="0" fillId="0" borderId="1" xfId="0" applyNumberFormat="1" applyBorder="1"/>
    <xf numFmtId="165" fontId="0" fillId="0" borderId="1" xfId="0" applyNumberFormat="1" applyBorder="1"/>
    <xf numFmtId="0" fontId="0" fillId="0" borderId="0" xfId="0" applyAlignment="1">
      <alignment horizontal="center" vertical="center"/>
    </xf>
    <xf numFmtId="0" fontId="1" fillId="0" borderId="0" xfId="0" applyFont="1"/>
    <xf numFmtId="0" fontId="0" fillId="0" borderId="1" xfId="0" applyBorder="1" applyAlignment="1">
      <alignment horizontal="center"/>
    </xf>
    <xf numFmtId="0" fontId="5" fillId="0" borderId="0" xfId="0" applyFont="1"/>
    <xf numFmtId="0" fontId="7" fillId="0" borderId="0" xfId="0" applyFont="1"/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left"/>
    </xf>
    <xf numFmtId="0" fontId="9" fillId="5" borderId="1" xfId="0" applyFont="1" applyFill="1" applyBorder="1" applyAlignment="1">
      <alignment horizontal="left" vertical="center" wrapText="1"/>
    </xf>
    <xf numFmtId="2" fontId="9" fillId="5" borderId="1" xfId="0" applyNumberFormat="1" applyFont="1" applyFill="1" applyBorder="1" applyAlignment="1">
      <alignment horizontal="center" vertical="center" wrapText="1"/>
    </xf>
    <xf numFmtId="0" fontId="8" fillId="5" borderId="1" xfId="0" applyFont="1" applyFill="1" applyBorder="1"/>
    <xf numFmtId="0" fontId="8" fillId="0" borderId="1" xfId="0" applyFont="1" applyBorder="1"/>
    <xf numFmtId="0" fontId="8" fillId="0" borderId="1" xfId="0" applyFont="1" applyBorder="1" applyAlignment="1">
      <alignment wrapText="1"/>
    </xf>
    <xf numFmtId="0" fontId="8" fillId="0" borderId="2" xfId="0" applyFont="1" applyBorder="1"/>
    <xf numFmtId="0" fontId="8" fillId="0" borderId="1" xfId="0" applyFont="1" applyBorder="1" applyAlignment="1">
      <alignment horizontal="left"/>
    </xf>
    <xf numFmtId="0" fontId="11" fillId="0" borderId="1" xfId="0" applyFont="1" applyBorder="1" applyAlignment="1">
      <alignment horizontal="center" vertical="top"/>
    </xf>
    <xf numFmtId="165" fontId="11" fillId="0" borderId="1" xfId="0" applyNumberFormat="1" applyFont="1" applyBorder="1" applyAlignment="1">
      <alignment horizontal="right" vertical="top"/>
    </xf>
    <xf numFmtId="0" fontId="12" fillId="0" borderId="0" xfId="0" applyFont="1" applyAlignment="1">
      <alignment horizontal="center" vertical="center" wrapText="1"/>
    </xf>
    <xf numFmtId="2" fontId="8" fillId="5" borderId="1" xfId="0" applyNumberFormat="1" applyFont="1" applyFill="1" applyBorder="1" applyAlignment="1">
      <alignment horizontal="center" vertical="center"/>
    </xf>
    <xf numFmtId="166" fontId="9" fillId="0" borderId="1" xfId="0" applyNumberFormat="1" applyFont="1" applyBorder="1" applyAlignment="1">
      <alignment horizontal="center" vertical="center" wrapText="1"/>
    </xf>
    <xf numFmtId="166" fontId="8" fillId="0" borderId="1" xfId="0" applyNumberFormat="1" applyFont="1" applyBorder="1" applyAlignment="1">
      <alignment horizontal="center" vertical="center"/>
    </xf>
    <xf numFmtId="0" fontId="8" fillId="5" borderId="1" xfId="0" applyFont="1" applyFill="1" applyBorder="1" applyAlignment="1">
      <alignment horizontal="center"/>
    </xf>
    <xf numFmtId="0" fontId="9" fillId="5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4" fillId="0" borderId="0" xfId="0" applyFont="1" applyAlignment="1">
      <alignment horizontal="right" vertical="center" wrapText="1"/>
    </xf>
    <xf numFmtId="166" fontId="1" fillId="0" borderId="1" xfId="0" applyNumberFormat="1" applyFont="1" applyBorder="1" applyAlignment="1">
      <alignment horizontal="center"/>
    </xf>
    <xf numFmtId="0" fontId="8" fillId="0" borderId="3" xfId="0" applyFont="1" applyBorder="1"/>
    <xf numFmtId="0" fontId="8" fillId="0" borderId="0" xfId="0" applyFont="1"/>
    <xf numFmtId="164" fontId="0" fillId="0" borderId="0" xfId="0" applyNumberFormat="1"/>
    <xf numFmtId="0" fontId="0" fillId="0" borderId="1" xfId="0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49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wrapText="1"/>
    </xf>
    <xf numFmtId="0" fontId="0" fillId="4" borderId="1" xfId="0" applyFill="1" applyBorder="1" applyAlignment="1">
      <alignment horizontal="center"/>
    </xf>
    <xf numFmtId="0" fontId="0" fillId="0" borderId="0" xfId="0" applyAlignment="1">
      <alignment horizontal="left"/>
    </xf>
    <xf numFmtId="0" fontId="15" fillId="0" borderId="12" xfId="0" applyFont="1" applyBorder="1"/>
    <xf numFmtId="0" fontId="0" fillId="0" borderId="13" xfId="0" applyBorder="1"/>
    <xf numFmtId="0" fontId="0" fillId="0" borderId="14" xfId="0" applyBorder="1"/>
    <xf numFmtId="0" fontId="16" fillId="0" borderId="15" xfId="0" applyFont="1" applyBorder="1"/>
    <xf numFmtId="0" fontId="0" fillId="0" borderId="16" xfId="0" applyBorder="1"/>
    <xf numFmtId="0" fontId="0" fillId="0" borderId="15" xfId="0" applyBorder="1"/>
    <xf numFmtId="0" fontId="0" fillId="2" borderId="17" xfId="0" applyFill="1" applyBorder="1" applyAlignment="1">
      <alignment horizontal="center"/>
    </xf>
    <xf numFmtId="165" fontId="0" fillId="6" borderId="1" xfId="0" applyNumberFormat="1" applyFill="1" applyBorder="1" applyAlignment="1">
      <alignment horizontal="center"/>
    </xf>
    <xf numFmtId="165" fontId="0" fillId="6" borderId="17" xfId="0" applyNumberFormat="1" applyFill="1" applyBorder="1" applyAlignment="1">
      <alignment horizontal="center"/>
    </xf>
    <xf numFmtId="1" fontId="0" fillId="0" borderId="1" xfId="0" applyNumberFormat="1" applyBorder="1"/>
    <xf numFmtId="0" fontId="0" fillId="0" borderId="17" xfId="0" applyBorder="1" applyAlignment="1">
      <alignment horizontal="center"/>
    </xf>
    <xf numFmtId="0" fontId="0" fillId="4" borderId="17" xfId="0" applyFill="1" applyBorder="1" applyAlignment="1">
      <alignment horizontal="center"/>
    </xf>
    <xf numFmtId="0" fontId="0" fillId="0" borderId="20" xfId="0" applyBorder="1"/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" xfId="0" applyBorder="1"/>
    <xf numFmtId="0" fontId="0" fillId="0" borderId="17" xfId="0" applyBorder="1"/>
    <xf numFmtId="0" fontId="0" fillId="4" borderId="1" xfId="0" applyFill="1" applyBorder="1"/>
    <xf numFmtId="0" fontId="0" fillId="0" borderId="23" xfId="0" applyBorder="1"/>
    <xf numFmtId="0" fontId="0" fillId="0" borderId="3" xfId="0" applyBorder="1"/>
    <xf numFmtId="0" fontId="0" fillId="0" borderId="21" xfId="0" applyBorder="1"/>
    <xf numFmtId="0" fontId="0" fillId="0" borderId="22" xfId="0" applyBorder="1"/>
    <xf numFmtId="165" fontId="0" fillId="6" borderId="10" xfId="0" applyNumberFormat="1" applyFill="1" applyBorder="1"/>
    <xf numFmtId="0" fontId="0" fillId="6" borderId="10" xfId="0" applyFill="1" applyBorder="1"/>
    <xf numFmtId="0" fontId="0" fillId="0" borderId="5" xfId="0" applyBorder="1"/>
    <xf numFmtId="0" fontId="0" fillId="0" borderId="6" xfId="0" applyBorder="1"/>
    <xf numFmtId="0" fontId="16" fillId="0" borderId="0" xfId="0" applyFont="1"/>
    <xf numFmtId="0" fontId="16" fillId="0" borderId="18" xfId="0" applyFont="1" applyBorder="1"/>
    <xf numFmtId="0" fontId="0" fillId="0" borderId="19" xfId="0" applyBorder="1" applyAlignment="1">
      <alignment horizontal="center" vertical="center"/>
    </xf>
    <xf numFmtId="0" fontId="0" fillId="2" borderId="1" xfId="0" applyFill="1" applyBorder="1"/>
    <xf numFmtId="165" fontId="0" fillId="6" borderId="20" xfId="0" applyNumberFormat="1" applyFill="1" applyBorder="1"/>
    <xf numFmtId="165" fontId="14" fillId="6" borderId="1" xfId="0" applyNumberFormat="1" applyFont="1" applyFill="1" applyBorder="1"/>
    <xf numFmtId="165" fontId="14" fillId="6" borderId="17" xfId="0" applyNumberFormat="1" applyFont="1" applyFill="1" applyBorder="1"/>
    <xf numFmtId="165" fontId="0" fillId="0" borderId="0" xfId="0" applyNumberFormat="1"/>
    <xf numFmtId="1" fontId="25" fillId="0" borderId="0" xfId="0" applyNumberFormat="1" applyFont="1"/>
    <xf numFmtId="1" fontId="0" fillId="0" borderId="0" xfId="0" applyNumberFormat="1"/>
    <xf numFmtId="0" fontId="15" fillId="0" borderId="0" xfId="0" applyFont="1"/>
    <xf numFmtId="0" fontId="26" fillId="0" borderId="0" xfId="0" applyFont="1"/>
    <xf numFmtId="0" fontId="28" fillId="2" borderId="1" xfId="0" applyFont="1" applyFill="1" applyBorder="1"/>
    <xf numFmtId="0" fontId="16" fillId="0" borderId="1" xfId="0" applyFont="1" applyBorder="1"/>
    <xf numFmtId="0" fontId="0" fillId="0" borderId="2" xfId="0" applyBorder="1" applyAlignment="1">
      <alignment horizontal="center" vertical="center"/>
    </xf>
    <xf numFmtId="0" fontId="35" fillId="0" borderId="0" xfId="0" applyFont="1"/>
    <xf numFmtId="0" fontId="36" fillId="0" borderId="0" xfId="0" applyFont="1"/>
    <xf numFmtId="49" fontId="0" fillId="7" borderId="29" xfId="0" applyNumberFormat="1" applyFill="1" applyBorder="1" applyAlignment="1">
      <alignment horizontal="center" vertical="center"/>
    </xf>
    <xf numFmtId="0" fontId="0" fillId="7" borderId="29" xfId="0" applyFill="1" applyBorder="1" applyAlignment="1">
      <alignment horizontal="center" vertical="center"/>
    </xf>
    <xf numFmtId="0" fontId="0" fillId="7" borderId="30" xfId="0" applyFill="1" applyBorder="1" applyAlignment="1">
      <alignment horizontal="center" vertical="center"/>
    </xf>
    <xf numFmtId="0" fontId="0" fillId="7" borderId="31" xfId="0" applyFill="1" applyBorder="1" applyAlignment="1">
      <alignment horizontal="center" vertical="center"/>
    </xf>
    <xf numFmtId="0" fontId="0" fillId="7" borderId="20" xfId="0" applyFill="1" applyBorder="1" applyAlignment="1">
      <alignment horizontal="center" vertical="center"/>
    </xf>
    <xf numFmtId="49" fontId="0" fillId="7" borderId="31" xfId="0" applyNumberFormat="1" applyFill="1" applyBorder="1" applyAlignment="1">
      <alignment horizontal="center" vertical="center"/>
    </xf>
    <xf numFmtId="0" fontId="0" fillId="7" borderId="32" xfId="0" applyFill="1" applyBorder="1" applyAlignment="1">
      <alignment horizontal="center" vertical="center"/>
    </xf>
    <xf numFmtId="0" fontId="0" fillId="4" borderId="20" xfId="0" applyFill="1" applyBorder="1"/>
    <xf numFmtId="3" fontId="0" fillId="0" borderId="0" xfId="0" applyNumberFormat="1"/>
    <xf numFmtId="0" fontId="0" fillId="2" borderId="2" xfId="0" applyFill="1" applyBorder="1" applyAlignment="1">
      <alignment horizontal="center" vertical="center" wrapText="1"/>
    </xf>
    <xf numFmtId="0" fontId="1" fillId="2" borderId="2" xfId="0" applyFont="1" applyFill="1" applyBorder="1"/>
    <xf numFmtId="0" fontId="0" fillId="2" borderId="3" xfId="0" applyFill="1" applyBorder="1"/>
    <xf numFmtId="0" fontId="3" fillId="2" borderId="1" xfId="0" applyFont="1" applyFill="1" applyBorder="1" applyAlignment="1">
      <alignment horizontal="center" vertical="center" wrapText="1"/>
    </xf>
    <xf numFmtId="2" fontId="0" fillId="0" borderId="1" xfId="0" applyNumberFormat="1" applyBorder="1"/>
    <xf numFmtId="165" fontId="4" fillId="0" borderId="1" xfId="0" applyNumberFormat="1" applyFont="1" applyBorder="1" applyAlignment="1">
      <alignment horizontal="right" vertical="center" wrapText="1"/>
    </xf>
    <xf numFmtId="164" fontId="7" fillId="0" borderId="1" xfId="0" applyNumberFormat="1" applyFont="1" applyBorder="1"/>
    <xf numFmtId="0" fontId="7" fillId="0" borderId="1" xfId="0" applyFont="1" applyBorder="1"/>
    <xf numFmtId="0" fontId="14" fillId="0" borderId="1" xfId="0" applyFont="1" applyBorder="1"/>
    <xf numFmtId="166" fontId="0" fillId="0" borderId="1" xfId="0" applyNumberFormat="1" applyBorder="1"/>
    <xf numFmtId="0" fontId="0" fillId="0" borderId="5" xfId="0" applyBorder="1" applyAlignment="1">
      <alignment horizontal="center"/>
    </xf>
    <xf numFmtId="0" fontId="0" fillId="0" borderId="8" xfId="0" applyBorder="1"/>
    <xf numFmtId="1" fontId="0" fillId="0" borderId="8" xfId="0" applyNumberFormat="1" applyBorder="1" applyAlignment="1">
      <alignment horizontal="center"/>
    </xf>
    <xf numFmtId="165" fontId="0" fillId="0" borderId="10" xfId="0" applyNumberFormat="1" applyBorder="1"/>
    <xf numFmtId="0" fontId="1" fillId="0" borderId="0" xfId="0" applyFont="1" applyAlignment="1">
      <alignment horizontal="left"/>
    </xf>
    <xf numFmtId="49" fontId="0" fillId="7" borderId="37" xfId="0" applyNumberFormat="1" applyFill="1" applyBorder="1" applyAlignment="1">
      <alignment horizontal="center" vertical="center"/>
    </xf>
    <xf numFmtId="0" fontId="0" fillId="7" borderId="33" xfId="0" applyFill="1" applyBorder="1" applyAlignment="1">
      <alignment horizontal="center" vertical="center"/>
    </xf>
    <xf numFmtId="0" fontId="0" fillId="2" borderId="5" xfId="0" applyFill="1" applyBorder="1"/>
    <xf numFmtId="0" fontId="0" fillId="2" borderId="5" xfId="0" applyFill="1" applyBorder="1" applyAlignment="1">
      <alignment horizontal="center"/>
    </xf>
    <xf numFmtId="0" fontId="0" fillId="0" borderId="38" xfId="0" applyBorder="1"/>
    <xf numFmtId="3" fontId="0" fillId="4" borderId="31" xfId="0" applyNumberFormat="1" applyFill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3" fontId="0" fillId="0" borderId="31" xfId="0" applyNumberFormat="1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19" xfId="0" applyBorder="1"/>
    <xf numFmtId="3" fontId="0" fillId="4" borderId="20" xfId="0" applyNumberForma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3" fontId="0" fillId="0" borderId="20" xfId="0" applyNumberFormat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28" xfId="0" applyBorder="1"/>
    <xf numFmtId="3" fontId="0" fillId="4" borderId="29" xfId="0" applyNumberFormat="1" applyFill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3" fontId="0" fillId="0" borderId="29" xfId="0" applyNumberFormat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28" xfId="0" applyBorder="1" applyAlignment="1">
      <alignment wrapText="1"/>
    </xf>
    <xf numFmtId="165" fontId="0" fillId="0" borderId="1" xfId="0" applyNumberFormat="1" applyBorder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0" fontId="0" fillId="0" borderId="35" xfId="0" applyBorder="1" applyAlignment="1">
      <alignment horizontal="center" vertical="center"/>
    </xf>
    <xf numFmtId="165" fontId="0" fillId="0" borderId="35" xfId="0" applyNumberFormat="1" applyBorder="1" applyAlignment="1">
      <alignment horizontal="center" vertical="center"/>
    </xf>
    <xf numFmtId="0" fontId="33" fillId="0" borderId="1" xfId="0" applyFont="1" applyBorder="1"/>
    <xf numFmtId="165" fontId="0" fillId="0" borderId="2" xfId="0" applyNumberFormat="1" applyBorder="1" applyAlignment="1">
      <alignment horizontal="center" vertical="center"/>
    </xf>
    <xf numFmtId="3" fontId="37" fillId="0" borderId="0" xfId="0" applyNumberFormat="1" applyFont="1"/>
    <xf numFmtId="166" fontId="0" fillId="7" borderId="29" xfId="0" applyNumberFormat="1" applyFill="1" applyBorder="1" applyAlignment="1">
      <alignment horizontal="center" vertical="center"/>
    </xf>
    <xf numFmtId="2" fontId="0" fillId="7" borderId="29" xfId="0" applyNumberFormat="1" applyFill="1" applyBorder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166" fontId="0" fillId="0" borderId="29" xfId="0" applyNumberFormat="1" applyBorder="1" applyAlignment="1">
      <alignment horizontal="center" vertical="center"/>
    </xf>
    <xf numFmtId="166" fontId="0" fillId="7" borderId="37" xfId="0" applyNumberFormat="1" applyFill="1" applyBorder="1" applyAlignment="1">
      <alignment horizontal="center" vertical="center"/>
    </xf>
    <xf numFmtId="166" fontId="0" fillId="7" borderId="31" xfId="0" applyNumberFormat="1" applyFill="1" applyBorder="1" applyAlignment="1">
      <alignment horizontal="center" vertical="center"/>
    </xf>
    <xf numFmtId="2" fontId="0" fillId="7" borderId="31" xfId="0" applyNumberFormat="1" applyFill="1" applyBorder="1" applyAlignment="1">
      <alignment horizontal="center" vertical="center"/>
    </xf>
    <xf numFmtId="2" fontId="0" fillId="7" borderId="37" xfId="0" applyNumberFormat="1" applyFill="1" applyBorder="1" applyAlignment="1">
      <alignment horizontal="center" vertical="center"/>
    </xf>
    <xf numFmtId="166" fontId="0" fillId="0" borderId="0" xfId="0" applyNumberFormat="1" applyAlignment="1">
      <alignment horizontal="center"/>
    </xf>
    <xf numFmtId="0" fontId="38" fillId="0" borderId="0" xfId="1"/>
    <xf numFmtId="0" fontId="11" fillId="0" borderId="0" xfId="0" applyFont="1"/>
    <xf numFmtId="0" fontId="39" fillId="0" borderId="0" xfId="0" applyFont="1" applyAlignment="1">
      <alignment wrapText="1"/>
    </xf>
    <xf numFmtId="0" fontId="11" fillId="0" borderId="1" xfId="0" applyFont="1" applyBorder="1"/>
    <xf numFmtId="0" fontId="11" fillId="0" borderId="1" xfId="0" applyFont="1" applyBorder="1" applyAlignment="1">
      <alignment horizontal="center"/>
    </xf>
    <xf numFmtId="0" fontId="40" fillId="0" borderId="1" xfId="0" applyFont="1" applyBorder="1" applyAlignment="1">
      <alignment wrapText="1"/>
    </xf>
    <xf numFmtId="167" fontId="40" fillId="0" borderId="1" xfId="0" applyNumberFormat="1" applyFont="1" applyBorder="1"/>
    <xf numFmtId="0" fontId="1" fillId="2" borderId="1" xfId="0" applyFont="1" applyFill="1" applyBorder="1" applyAlignment="1">
      <alignment horizontal="center" vertical="center"/>
    </xf>
    <xf numFmtId="0" fontId="39" fillId="2" borderId="1" xfId="0" applyFont="1" applyFill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39" fillId="0" borderId="0" xfId="0" applyFont="1" applyAlignment="1">
      <alignment horizontal="center"/>
    </xf>
    <xf numFmtId="167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0" fontId="41" fillId="0" borderId="0" xfId="0" applyFont="1" applyAlignment="1">
      <alignment vertical="center"/>
    </xf>
    <xf numFmtId="0" fontId="39" fillId="0" borderId="0" xfId="0" applyFont="1" applyAlignment="1">
      <alignment vertical="center"/>
    </xf>
    <xf numFmtId="0" fontId="41" fillId="0" borderId="0" xfId="0" applyFont="1" applyAlignment="1">
      <alignment vertical="center" wrapText="1"/>
    </xf>
    <xf numFmtId="0" fontId="14" fillId="0" borderId="0" xfId="0" applyFont="1"/>
    <xf numFmtId="167" fontId="0" fillId="0" borderId="1" xfId="0" applyNumberFormat="1" applyBorder="1"/>
    <xf numFmtId="0" fontId="40" fillId="0" borderId="0" xfId="0" applyFont="1" applyAlignment="1">
      <alignment wrapText="1"/>
    </xf>
    <xf numFmtId="0" fontId="40" fillId="0" borderId="0" xfId="0" applyFont="1" applyAlignment="1">
      <alignment horizontal="center"/>
    </xf>
    <xf numFmtId="167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/>
    </xf>
    <xf numFmtId="0" fontId="42" fillId="0" borderId="0" xfId="1" applyFont="1"/>
    <xf numFmtId="0" fontId="11" fillId="0" borderId="1" xfId="0" applyFont="1" applyBorder="1" applyAlignment="1">
      <alignment horizontal="center" vertical="center"/>
    </xf>
    <xf numFmtId="0" fontId="0" fillId="7" borderId="1" xfId="0" applyFill="1" applyBorder="1" applyAlignment="1">
      <alignment horizontal="center"/>
    </xf>
    <xf numFmtId="0" fontId="0" fillId="7" borderId="1" xfId="0" applyFill="1" applyBorder="1" applyAlignment="1">
      <alignment horizontal="right"/>
    </xf>
    <xf numFmtId="0" fontId="0" fillId="7" borderId="1" xfId="0" applyFill="1" applyBorder="1"/>
    <xf numFmtId="0" fontId="0" fillId="7" borderId="1" xfId="0" applyFill="1" applyBorder="1" applyAlignment="1">
      <alignment horizontal="center" vertical="center"/>
    </xf>
    <xf numFmtId="165" fontId="0" fillId="0" borderId="5" xfId="0" applyNumberFormat="1" applyBorder="1"/>
    <xf numFmtId="49" fontId="0" fillId="2" borderId="1" xfId="0" applyNumberFormat="1" applyFill="1" applyBorder="1" applyAlignment="1">
      <alignment horizontal="center" vertical="center" wrapText="1"/>
    </xf>
    <xf numFmtId="49" fontId="0" fillId="2" borderId="2" xfId="0" applyNumberFormat="1" applyFill="1" applyBorder="1" applyAlignment="1">
      <alignment horizontal="center" vertical="center" wrapText="1"/>
    </xf>
    <xf numFmtId="0" fontId="0" fillId="2" borderId="2" xfId="0" applyFill="1" applyBorder="1"/>
    <xf numFmtId="0" fontId="14" fillId="0" borderId="1" xfId="0" applyFont="1" applyBorder="1" applyAlignment="1">
      <alignment horizontal="center"/>
    </xf>
    <xf numFmtId="3" fontId="14" fillId="0" borderId="1" xfId="0" applyNumberFormat="1" applyFont="1" applyBorder="1"/>
    <xf numFmtId="3" fontId="14" fillId="7" borderId="1" xfId="0" applyNumberFormat="1" applyFont="1" applyFill="1" applyBorder="1"/>
    <xf numFmtId="49" fontId="0" fillId="0" borderId="0" xfId="0" applyNumberFormat="1" applyAlignment="1">
      <alignment horizontal="right"/>
    </xf>
    <xf numFmtId="1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165" fontId="43" fillId="0" borderId="0" xfId="0" applyNumberFormat="1" applyFont="1" applyAlignment="1">
      <alignment horizontal="center" vertical="center"/>
    </xf>
    <xf numFmtId="0" fontId="43" fillId="0" borderId="0" xfId="0" applyFont="1" applyAlignment="1">
      <alignment horizontal="center" vertical="center"/>
    </xf>
    <xf numFmtId="0" fontId="1" fillId="0" borderId="38" xfId="0" applyFont="1" applyBorder="1" applyAlignment="1">
      <alignment horizontal="left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1" fillId="2" borderId="18" xfId="0" applyFont="1" applyFill="1" applyBorder="1" applyAlignment="1">
      <alignment horizontal="left"/>
    </xf>
    <xf numFmtId="0" fontId="0" fillId="0" borderId="16" xfId="0" applyBorder="1" applyAlignment="1">
      <alignment horizontal="center"/>
    </xf>
    <xf numFmtId="0" fontId="0" fillId="2" borderId="18" xfId="0" applyFill="1" applyBorder="1"/>
    <xf numFmtId="0" fontId="0" fillId="0" borderId="18" xfId="0" applyBorder="1" applyAlignment="1">
      <alignment horizontal="left"/>
    </xf>
    <xf numFmtId="164" fontId="0" fillId="0" borderId="17" xfId="0" applyNumberFormat="1" applyBorder="1"/>
    <xf numFmtId="168" fontId="0" fillId="0" borderId="17" xfId="0" applyNumberFormat="1" applyBorder="1"/>
    <xf numFmtId="0" fontId="0" fillId="0" borderId="15" xfId="0" applyBorder="1" applyAlignment="1">
      <alignment horizontal="left"/>
    </xf>
    <xf numFmtId="0" fontId="0" fillId="0" borderId="19" xfId="0" applyBorder="1" applyAlignment="1">
      <alignment horizontal="left"/>
    </xf>
    <xf numFmtId="164" fontId="0" fillId="0" borderId="20" xfId="0" applyNumberFormat="1" applyBorder="1"/>
    <xf numFmtId="0" fontId="1" fillId="2" borderId="38" xfId="0" applyFont="1" applyFill="1" applyBorder="1" applyAlignment="1">
      <alignment horizontal="left"/>
    </xf>
    <xf numFmtId="164" fontId="0" fillId="0" borderId="1" xfId="0" applyNumberFormat="1" applyBorder="1" applyAlignment="1">
      <alignment horizontal="center" vertical="center"/>
    </xf>
    <xf numFmtId="167" fontId="0" fillId="0" borderId="1" xfId="0" applyNumberFormat="1" applyBorder="1" applyAlignment="1">
      <alignment horizontal="center" vertical="center"/>
    </xf>
    <xf numFmtId="169" fontId="0" fillId="0" borderId="1" xfId="0" applyNumberFormat="1" applyBorder="1"/>
    <xf numFmtId="0" fontId="40" fillId="0" borderId="1" xfId="0" applyFont="1" applyBorder="1"/>
    <xf numFmtId="0" fontId="38" fillId="0" borderId="1" xfId="1" applyNumberFormat="1" applyBorder="1" applyAlignment="1"/>
    <xf numFmtId="0" fontId="37" fillId="0" borderId="0" xfId="0" applyFont="1"/>
    <xf numFmtId="0" fontId="44" fillId="0" borderId="0" xfId="0" applyFont="1" applyAlignment="1">
      <alignment horizontal="center" vertical="center"/>
    </xf>
    <xf numFmtId="165" fontId="44" fillId="0" borderId="0" xfId="0" applyNumberFormat="1" applyFont="1" applyAlignment="1">
      <alignment horizontal="center" vertical="center"/>
    </xf>
    <xf numFmtId="3" fontId="14" fillId="4" borderId="1" xfId="0" applyNumberFormat="1" applyFont="1" applyFill="1" applyBorder="1" applyAlignment="1">
      <alignment horizontal="center"/>
    </xf>
    <xf numFmtId="168" fontId="14" fillId="0" borderId="2" xfId="0" applyNumberFormat="1" applyFont="1" applyBorder="1" applyAlignment="1">
      <alignment horizontal="center"/>
    </xf>
    <xf numFmtId="1" fontId="14" fillId="0" borderId="1" xfId="0" applyNumberFormat="1" applyFont="1" applyBorder="1" applyAlignment="1">
      <alignment horizontal="center" vertical="center"/>
    </xf>
    <xf numFmtId="3" fontId="14" fillId="0" borderId="1" xfId="0" applyNumberFormat="1" applyFont="1" applyBorder="1" applyAlignment="1">
      <alignment horizontal="center"/>
    </xf>
    <xf numFmtId="3" fontId="14" fillId="4" borderId="1" xfId="0" applyNumberFormat="1" applyFon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165" fontId="4" fillId="5" borderId="1" xfId="0" applyNumberFormat="1" applyFont="1" applyFill="1" applyBorder="1" applyAlignment="1">
      <alignment horizontal="right" vertical="center" wrapText="1"/>
    </xf>
    <xf numFmtId="165" fontId="0" fillId="0" borderId="1" xfId="0" applyNumberFormat="1" applyBorder="1" applyAlignment="1">
      <alignment horizontal="right" vertical="center"/>
    </xf>
    <xf numFmtId="165" fontId="0" fillId="5" borderId="1" xfId="0" applyNumberFormat="1" applyFill="1" applyBorder="1"/>
    <xf numFmtId="165" fontId="0" fillId="7" borderId="1" xfId="0" applyNumberFormat="1" applyFill="1" applyBorder="1"/>
    <xf numFmtId="165" fontId="37" fillId="7" borderId="1" xfId="0" applyNumberFormat="1" applyFont="1" applyFill="1" applyBorder="1"/>
    <xf numFmtId="165" fontId="0" fillId="6" borderId="1" xfId="0" applyNumberFormat="1" applyFill="1" applyBorder="1"/>
    <xf numFmtId="165" fontId="37" fillId="6" borderId="1" xfId="0" applyNumberFormat="1" applyFont="1" applyFill="1" applyBorder="1"/>
    <xf numFmtId="165" fontId="0" fillId="0" borderId="17" xfId="0" applyNumberFormat="1" applyBorder="1"/>
    <xf numFmtId="165" fontId="0" fillId="0" borderId="20" xfId="0" applyNumberFormat="1" applyBorder="1"/>
    <xf numFmtId="165" fontId="0" fillId="0" borderId="33" xfId="0" applyNumberFormat="1" applyBorder="1"/>
    <xf numFmtId="165" fontId="0" fillId="0" borderId="18" xfId="0" applyNumberFormat="1" applyBorder="1" applyAlignment="1">
      <alignment horizontal="center" vertical="center"/>
    </xf>
    <xf numFmtId="165" fontId="0" fillId="0" borderId="17" xfId="0" applyNumberFormat="1" applyBorder="1" applyAlignment="1">
      <alignment horizontal="center" vertical="center"/>
    </xf>
    <xf numFmtId="165" fontId="0" fillId="0" borderId="18" xfId="0" applyNumberFormat="1" applyBorder="1" applyAlignment="1">
      <alignment horizontal="center"/>
    </xf>
    <xf numFmtId="165" fontId="0" fillId="0" borderId="17" xfId="0" applyNumberFormat="1" applyBorder="1" applyAlignment="1">
      <alignment horizontal="center"/>
    </xf>
    <xf numFmtId="165" fontId="0" fillId="0" borderId="2" xfId="0" applyNumberFormat="1" applyBorder="1" applyAlignment="1">
      <alignment horizontal="center"/>
    </xf>
    <xf numFmtId="165" fontId="0" fillId="5" borderId="18" xfId="0" applyNumberFormat="1" applyFill="1" applyBorder="1" applyAlignment="1">
      <alignment horizontal="center"/>
    </xf>
    <xf numFmtId="165" fontId="0" fillId="5" borderId="17" xfId="0" applyNumberFormat="1" applyFill="1" applyBorder="1" applyAlignment="1">
      <alignment horizontal="center"/>
    </xf>
    <xf numFmtId="165" fontId="0" fillId="0" borderId="19" xfId="0" applyNumberFormat="1" applyBorder="1" applyAlignment="1">
      <alignment horizontal="center" vertical="center"/>
    </xf>
    <xf numFmtId="165" fontId="0" fillId="0" borderId="33" xfId="0" applyNumberFormat="1" applyBorder="1" applyAlignment="1">
      <alignment horizontal="center" vertical="center"/>
    </xf>
    <xf numFmtId="165" fontId="0" fillId="0" borderId="19" xfId="0" applyNumberFormat="1" applyBorder="1" applyAlignment="1">
      <alignment horizontal="center"/>
    </xf>
    <xf numFmtId="165" fontId="0" fillId="0" borderId="33" xfId="0" applyNumberFormat="1" applyBorder="1" applyAlignment="1">
      <alignment horizontal="center"/>
    </xf>
    <xf numFmtId="165" fontId="0" fillId="0" borderId="27" xfId="0" applyNumberFormat="1" applyBorder="1" applyAlignment="1">
      <alignment horizontal="center"/>
    </xf>
    <xf numFmtId="165" fontId="0" fillId="5" borderId="19" xfId="0" applyNumberFormat="1" applyFill="1" applyBorder="1" applyAlignment="1">
      <alignment horizontal="center"/>
    </xf>
    <xf numFmtId="165" fontId="0" fillId="5" borderId="33" xfId="0" applyNumberFormat="1" applyFill="1" applyBorder="1" applyAlignment="1">
      <alignment horizontal="center"/>
    </xf>
    <xf numFmtId="165" fontId="0" fillId="5" borderId="1" xfId="0" applyNumberFormat="1" applyFill="1" applyBorder="1" applyAlignment="1">
      <alignment horizontal="center"/>
    </xf>
    <xf numFmtId="168" fontId="14" fillId="0" borderId="1" xfId="0" applyNumberFormat="1" applyFont="1" applyBorder="1" applyAlignment="1">
      <alignment horizontal="center"/>
    </xf>
    <xf numFmtId="165" fontId="37" fillId="0" borderId="0" xfId="0" applyNumberFormat="1" applyFont="1" applyAlignment="1">
      <alignment horizontal="center" vertical="center"/>
    </xf>
    <xf numFmtId="0" fontId="37" fillId="0" borderId="0" xfId="0" applyFont="1" applyAlignment="1">
      <alignment horizontal="center"/>
    </xf>
    <xf numFmtId="165" fontId="37" fillId="0" borderId="0" xfId="0" applyNumberFormat="1" applyFont="1" applyAlignment="1">
      <alignment horizontal="center"/>
    </xf>
    <xf numFmtId="167" fontId="14" fillId="0" borderId="1" xfId="0" applyNumberFormat="1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65" fontId="0" fillId="5" borderId="3" xfId="0" applyNumberFormat="1" applyFill="1" applyBorder="1" applyAlignment="1">
      <alignment horizontal="center"/>
    </xf>
    <xf numFmtId="165" fontId="0" fillId="5" borderId="25" xfId="0" applyNumberFormat="1" applyFill="1" applyBorder="1" applyAlignment="1">
      <alignment horizontal="center"/>
    </xf>
    <xf numFmtId="0" fontId="14" fillId="2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165" fontId="14" fillId="0" borderId="1" xfId="0" applyNumberFormat="1" applyFont="1" applyBorder="1" applyAlignment="1">
      <alignment horizontal="center"/>
    </xf>
    <xf numFmtId="0" fontId="46" fillId="0" borderId="1" xfId="0" applyFont="1" applyBorder="1"/>
    <xf numFmtId="3" fontId="14" fillId="4" borderId="1" xfId="0" applyNumberFormat="1" applyFont="1" applyFill="1" applyBorder="1"/>
    <xf numFmtId="165" fontId="14" fillId="0" borderId="18" xfId="0" applyNumberFormat="1" applyFont="1" applyBorder="1" applyAlignment="1">
      <alignment horizontal="center"/>
    </xf>
    <xf numFmtId="165" fontId="14" fillId="0" borderId="17" xfId="0" applyNumberFormat="1" applyFont="1" applyBorder="1" applyAlignment="1">
      <alignment horizontal="center"/>
    </xf>
    <xf numFmtId="0" fontId="47" fillId="0" borderId="1" xfId="0" applyFont="1" applyBorder="1" applyAlignment="1">
      <alignment horizontal="center" vertical="center" wrapText="1"/>
    </xf>
    <xf numFmtId="0" fontId="0" fillId="0" borderId="7" xfId="0" applyBorder="1"/>
    <xf numFmtId="167" fontId="0" fillId="0" borderId="2" xfId="0" applyNumberFormat="1" applyBorder="1"/>
    <xf numFmtId="165" fontId="48" fillId="0" borderId="1" xfId="0" applyNumberFormat="1" applyFont="1" applyBorder="1"/>
    <xf numFmtId="0" fontId="13" fillId="0" borderId="1" xfId="0" applyFont="1" applyBorder="1" applyAlignment="1">
      <alignment horizontal="center" vertical="center"/>
    </xf>
    <xf numFmtId="170" fontId="0" fillId="0" borderId="1" xfId="0" applyNumberFormat="1" applyBorder="1" applyAlignment="1">
      <alignment horizontal="right"/>
    </xf>
    <xf numFmtId="0" fontId="0" fillId="7" borderId="42" xfId="0" applyFill="1" applyBorder="1" applyAlignment="1">
      <alignment horizontal="center" vertical="center"/>
    </xf>
    <xf numFmtId="165" fontId="0" fillId="0" borderId="4" xfId="0" applyNumberFormat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0" fontId="0" fillId="0" borderId="0" xfId="0" applyAlignment="1">
      <alignment horizontal="right"/>
    </xf>
    <xf numFmtId="164" fontId="0" fillId="4" borderId="1" xfId="0" applyNumberFormat="1" applyFill="1" applyBorder="1"/>
    <xf numFmtId="165" fontId="0" fillId="4" borderId="1" xfId="0" applyNumberFormat="1" applyFill="1" applyBorder="1"/>
    <xf numFmtId="1" fontId="0" fillId="8" borderId="1" xfId="0" applyNumberFormat="1" applyFill="1" applyBorder="1"/>
    <xf numFmtId="165" fontId="1" fillId="0" borderId="1" xfId="0" applyNumberFormat="1" applyFont="1" applyBorder="1" applyAlignment="1">
      <alignment horizontal="center"/>
    </xf>
    <xf numFmtId="0" fontId="11" fillId="0" borderId="0" xfId="2" applyFont="1"/>
    <xf numFmtId="0" fontId="39" fillId="0" borderId="0" xfId="2" applyFont="1" applyAlignment="1">
      <alignment wrapText="1"/>
    </xf>
    <xf numFmtId="0" fontId="11" fillId="0" borderId="1" xfId="2" applyFont="1" applyBorder="1"/>
    <xf numFmtId="0" fontId="39" fillId="0" borderId="0" xfId="2" applyFont="1"/>
    <xf numFmtId="0" fontId="39" fillId="0" borderId="1" xfId="2" applyFont="1" applyBorder="1" applyAlignment="1">
      <alignment wrapText="1"/>
    </xf>
    <xf numFmtId="167" fontId="39" fillId="4" borderId="1" xfId="2" applyNumberFormat="1" applyFont="1" applyFill="1" applyBorder="1"/>
    <xf numFmtId="0" fontId="11" fillId="0" borderId="1" xfId="2" applyFont="1" applyBorder="1" applyAlignment="1">
      <alignment horizontal="center"/>
    </xf>
    <xf numFmtId="167" fontId="11" fillId="0" borderId="0" xfId="2" applyNumberFormat="1" applyFont="1"/>
    <xf numFmtId="171" fontId="11" fillId="0" borderId="0" xfId="2" applyNumberFormat="1" applyFont="1"/>
    <xf numFmtId="165" fontId="11" fillId="0" borderId="0" xfId="2" applyNumberFormat="1" applyFont="1"/>
    <xf numFmtId="0" fontId="39" fillId="0" borderId="1" xfId="2" applyFont="1" applyBorder="1"/>
    <xf numFmtId="0" fontId="10" fillId="0" borderId="1" xfId="2" applyFont="1" applyBorder="1" applyAlignment="1">
      <alignment wrapText="1"/>
    </xf>
    <xf numFmtId="0" fontId="11" fillId="4" borderId="1" xfId="2" applyFont="1" applyFill="1" applyBorder="1"/>
    <xf numFmtId="165" fontId="39" fillId="0" borderId="0" xfId="2" applyNumberFormat="1" applyFont="1"/>
    <xf numFmtId="164" fontId="39" fillId="0" borderId="0" xfId="2" applyNumberFormat="1" applyFont="1"/>
    <xf numFmtId="172" fontId="39" fillId="0" borderId="0" xfId="2" applyNumberFormat="1" applyFont="1"/>
    <xf numFmtId="0" fontId="56" fillId="0" borderId="0" xfId="3" applyFont="1"/>
    <xf numFmtId="0" fontId="56" fillId="0" borderId="1" xfId="3" applyFont="1" applyBorder="1" applyAlignment="1">
      <alignment wrapText="1"/>
    </xf>
    <xf numFmtId="0" fontId="56" fillId="0" borderId="1" xfId="3" applyFont="1" applyBorder="1"/>
    <xf numFmtId="164" fontId="56" fillId="0" borderId="1" xfId="3" applyNumberFormat="1" applyFont="1" applyBorder="1"/>
    <xf numFmtId="0" fontId="57" fillId="0" borderId="1" xfId="3" applyFont="1" applyBorder="1"/>
    <xf numFmtId="0" fontId="58" fillId="0" borderId="1" xfId="3" applyFont="1" applyBorder="1" applyAlignment="1">
      <alignment horizontal="center" vertical="center"/>
    </xf>
    <xf numFmtId="0" fontId="54" fillId="0" borderId="1" xfId="3" applyFont="1" applyBorder="1"/>
    <xf numFmtId="165" fontId="54" fillId="9" borderId="1" xfId="3" applyNumberFormat="1" applyFont="1" applyFill="1" applyBorder="1"/>
    <xf numFmtId="164" fontId="54" fillId="9" borderId="1" xfId="3" applyNumberFormat="1" applyFont="1" applyFill="1" applyBorder="1"/>
    <xf numFmtId="0" fontId="59" fillId="0" borderId="0" xfId="3" applyFont="1" applyAlignment="1">
      <alignment horizontal="center" vertical="center"/>
    </xf>
    <xf numFmtId="164" fontId="56" fillId="0" borderId="0" xfId="3" applyNumberFormat="1" applyFont="1"/>
    <xf numFmtId="0" fontId="56" fillId="0" borderId="43" xfId="3" applyFont="1" applyBorder="1" applyAlignment="1">
      <alignment wrapText="1"/>
    </xf>
    <xf numFmtId="0" fontId="56" fillId="0" borderId="43" xfId="3" applyFont="1" applyBorder="1" applyAlignment="1">
      <alignment horizontal="right"/>
    </xf>
    <xf numFmtId="9" fontId="56" fillId="0" borderId="43" xfId="3" applyNumberFormat="1" applyFont="1" applyBorder="1"/>
    <xf numFmtId="0" fontId="56" fillId="0" borderId="43" xfId="3" applyFont="1" applyBorder="1"/>
    <xf numFmtId="9" fontId="56" fillId="0" borderId="0" xfId="3" applyNumberFormat="1" applyFont="1"/>
    <xf numFmtId="1" fontId="56" fillId="10" borderId="43" xfId="3" applyNumberFormat="1" applyFont="1" applyFill="1" applyBorder="1" applyAlignment="1">
      <alignment wrapText="1"/>
    </xf>
    <xf numFmtId="1" fontId="56" fillId="9" borderId="1" xfId="3" applyNumberFormat="1" applyFont="1" applyFill="1" applyBorder="1"/>
    <xf numFmtId="0" fontId="0" fillId="0" borderId="46" xfId="0" applyBorder="1" applyAlignment="1">
      <alignment horizontal="center" vertical="center"/>
    </xf>
    <xf numFmtId="0" fontId="4" fillId="0" borderId="23" xfId="0" applyFont="1" applyBorder="1" applyAlignment="1">
      <alignment horizontal="left" vertical="center" wrapText="1"/>
    </xf>
    <xf numFmtId="0" fontId="8" fillId="0" borderId="23" xfId="0" applyFont="1" applyBorder="1"/>
    <xf numFmtId="0" fontId="0" fillId="0" borderId="23" xfId="0" applyBorder="1" applyAlignment="1">
      <alignment horizontal="left"/>
    </xf>
    <xf numFmtId="0" fontId="0" fillId="0" borderId="24" xfId="0" applyBorder="1" applyAlignment="1">
      <alignment horizontal="left"/>
    </xf>
    <xf numFmtId="0" fontId="0" fillId="0" borderId="48" xfId="0" applyBorder="1" applyAlignment="1">
      <alignment horizontal="center"/>
    </xf>
    <xf numFmtId="0" fontId="0" fillId="0" borderId="49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18" xfId="0" applyBorder="1"/>
    <xf numFmtId="0" fontId="54" fillId="2" borderId="1" xfId="3" applyFont="1" applyFill="1" applyBorder="1" applyAlignment="1">
      <alignment horizontal="center"/>
    </xf>
    <xf numFmtId="0" fontId="51" fillId="0" borderId="2" xfId="2" applyBorder="1" applyAlignment="1">
      <alignment vertical="center"/>
    </xf>
    <xf numFmtId="0" fontId="56" fillId="0" borderId="1" xfId="3" applyFont="1" applyBorder="1" applyAlignment="1">
      <alignment horizontal="right"/>
    </xf>
    <xf numFmtId="0" fontId="51" fillId="0" borderId="1" xfId="2" applyBorder="1"/>
    <xf numFmtId="0" fontId="51" fillId="0" borderId="2" xfId="2" applyBorder="1" applyAlignment="1">
      <alignment vertical="center" wrapText="1"/>
    </xf>
    <xf numFmtId="0" fontId="38" fillId="0" borderId="0" xfId="1" applyBorder="1"/>
    <xf numFmtId="0" fontId="10" fillId="0" borderId="0" xfId="2" applyFont="1"/>
    <xf numFmtId="0" fontId="56" fillId="0" borderId="43" xfId="3" applyFont="1" applyBorder="1" applyAlignment="1">
      <alignment horizontal="center" vertical="center" wrapText="1"/>
    </xf>
    <xf numFmtId="0" fontId="56" fillId="0" borderId="0" xfId="3" applyFont="1" applyAlignment="1">
      <alignment horizontal="left" wrapText="1"/>
    </xf>
    <xf numFmtId="0" fontId="60" fillId="0" borderId="0" xfId="0" applyFont="1"/>
    <xf numFmtId="0" fontId="0" fillId="5" borderId="48" xfId="0" applyFill="1" applyBorder="1" applyAlignment="1">
      <alignment horizontal="center"/>
    </xf>
    <xf numFmtId="0" fontId="0" fillId="5" borderId="50" xfId="0" applyFill="1" applyBorder="1" applyAlignment="1">
      <alignment horizontal="center"/>
    </xf>
    <xf numFmtId="0" fontId="0" fillId="5" borderId="49" xfId="0" applyFill="1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51" xfId="0" applyBorder="1" applyAlignment="1">
      <alignment horizontal="center"/>
    </xf>
    <xf numFmtId="0" fontId="0" fillId="5" borderId="28" xfId="0" applyFill="1" applyBorder="1" applyAlignment="1">
      <alignment horizontal="center"/>
    </xf>
    <xf numFmtId="0" fontId="0" fillId="5" borderId="47" xfId="0" applyFill="1" applyBorder="1" applyAlignment="1">
      <alignment horizontal="center"/>
    </xf>
    <xf numFmtId="0" fontId="0" fillId="5" borderId="30" xfId="0" applyFill="1" applyBorder="1" applyAlignment="1">
      <alignment horizontal="center"/>
    </xf>
    <xf numFmtId="0" fontId="8" fillId="0" borderId="23" xfId="0" applyFont="1" applyBorder="1" applyAlignment="1">
      <alignment horizontal="left"/>
    </xf>
    <xf numFmtId="0" fontId="9" fillId="0" borderId="23" xfId="0" applyFont="1" applyBorder="1" applyAlignment="1">
      <alignment horizontal="left" vertical="center" wrapText="1"/>
    </xf>
    <xf numFmtId="0" fontId="54" fillId="2" borderId="1" xfId="3" applyFont="1" applyFill="1" applyBorder="1" applyAlignment="1">
      <alignment wrapText="1"/>
    </xf>
    <xf numFmtId="0" fontId="54" fillId="2" borderId="1" xfId="3" applyFont="1" applyFill="1" applyBorder="1" applyAlignment="1">
      <alignment horizontal="center" vertical="center" wrapText="1"/>
    </xf>
    <xf numFmtId="0" fontId="52" fillId="2" borderId="1" xfId="4" applyFont="1" applyFill="1" applyBorder="1" applyAlignment="1">
      <alignment horizontal="center" vertical="center" wrapText="1"/>
    </xf>
    <xf numFmtId="0" fontId="52" fillId="2" borderId="1" xfId="4" applyFont="1" applyFill="1" applyBorder="1" applyAlignment="1">
      <alignment horizontal="center" vertical="center"/>
    </xf>
    <xf numFmtId="0" fontId="39" fillId="2" borderId="1" xfId="0" applyFont="1" applyFill="1" applyBorder="1" applyAlignment="1">
      <alignment horizontal="center" wrapText="1"/>
    </xf>
    <xf numFmtId="0" fontId="41" fillId="2" borderId="5" xfId="0" applyFont="1" applyFill="1" applyBorder="1" applyAlignment="1">
      <alignment horizontal="center" vertical="center"/>
    </xf>
    <xf numFmtId="0" fontId="41" fillId="2" borderId="6" xfId="0" applyFont="1" applyFill="1" applyBorder="1" applyAlignment="1">
      <alignment horizontal="center" vertical="center"/>
    </xf>
    <xf numFmtId="0" fontId="39" fillId="2" borderId="5" xfId="0" applyFont="1" applyFill="1" applyBorder="1" applyAlignment="1">
      <alignment horizontal="center" vertical="center" wrapText="1"/>
    </xf>
    <xf numFmtId="0" fontId="39" fillId="2" borderId="6" xfId="0" applyFont="1" applyFill="1" applyBorder="1" applyAlignment="1">
      <alignment horizontal="center" vertical="center" wrapText="1"/>
    </xf>
    <xf numFmtId="0" fontId="39" fillId="2" borderId="2" xfId="0" applyFont="1" applyFill="1" applyBorder="1" applyAlignment="1">
      <alignment horizontal="center" wrapText="1"/>
    </xf>
    <xf numFmtId="0" fontId="39" fillId="2" borderId="3" xfId="0" applyFont="1" applyFill="1" applyBorder="1" applyAlignment="1">
      <alignment horizontal="center" wrapText="1"/>
    </xf>
    <xf numFmtId="0" fontId="39" fillId="2" borderId="4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39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0" fillId="7" borderId="40" xfId="0" applyFill="1" applyBorder="1" applyAlignment="1">
      <alignment horizontal="center" vertical="center" wrapText="1"/>
    </xf>
    <xf numFmtId="0" fontId="0" fillId="7" borderId="41" xfId="0" applyFill="1" applyBorder="1" applyAlignment="1">
      <alignment horizontal="center" vertical="center" wrapText="1"/>
    </xf>
    <xf numFmtId="0" fontId="0" fillId="7" borderId="5" xfId="0" applyFill="1" applyBorder="1" applyAlignment="1">
      <alignment horizontal="center" vertical="center"/>
    </xf>
    <xf numFmtId="0" fontId="0" fillId="7" borderId="6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10" fillId="2" borderId="2" xfId="0" applyFont="1" applyFill="1" applyBorder="1" applyAlignment="1">
      <alignment horizontal="center" vertical="top"/>
    </xf>
    <xf numFmtId="0" fontId="10" fillId="2" borderId="3" xfId="0" applyFont="1" applyFill="1" applyBorder="1" applyAlignment="1">
      <alignment horizontal="center" vertical="top"/>
    </xf>
    <xf numFmtId="0" fontId="10" fillId="2" borderId="4" xfId="0" applyFont="1" applyFill="1" applyBorder="1" applyAlignment="1">
      <alignment horizontal="center" vertical="top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165" fontId="0" fillId="0" borderId="5" xfId="0" applyNumberFormat="1" applyBorder="1" applyAlignment="1">
      <alignment horizontal="center" vertical="center"/>
    </xf>
    <xf numFmtId="165" fontId="0" fillId="0" borderId="6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0" fillId="2" borderId="34" xfId="0" applyFill="1" applyBorder="1" applyAlignment="1">
      <alignment horizontal="center" vertical="center"/>
    </xf>
    <xf numFmtId="0" fontId="0" fillId="2" borderId="36" xfId="0" applyFill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0" fontId="16" fillId="0" borderId="23" xfId="0" applyFont="1" applyBorder="1" applyAlignment="1">
      <alignment horizontal="left"/>
    </xf>
    <xf numFmtId="0" fontId="16" fillId="0" borderId="3" xfId="0" applyFont="1" applyBorder="1" applyAlignment="1">
      <alignment horizontal="left"/>
    </xf>
    <xf numFmtId="0" fontId="16" fillId="0" borderId="4" xfId="0" applyFont="1" applyBorder="1" applyAlignment="1">
      <alignment horizontal="left"/>
    </xf>
    <xf numFmtId="0" fontId="16" fillId="0" borderId="24" xfId="0" applyFont="1" applyBorder="1" applyAlignment="1">
      <alignment horizontal="left" vertical="center"/>
    </xf>
    <xf numFmtId="0" fontId="16" fillId="0" borderId="25" xfId="0" applyFont="1" applyBorder="1" applyAlignment="1">
      <alignment horizontal="left" vertical="center"/>
    </xf>
    <xf numFmtId="0" fontId="16" fillId="0" borderId="26" xfId="0" applyFont="1" applyBorder="1" applyAlignment="1">
      <alignment horizontal="left" vertical="center"/>
    </xf>
    <xf numFmtId="0" fontId="19" fillId="0" borderId="23" xfId="0" applyFont="1" applyBorder="1" applyAlignment="1">
      <alignment horizontal="left"/>
    </xf>
    <xf numFmtId="0" fontId="19" fillId="0" borderId="3" xfId="0" applyFont="1" applyBorder="1" applyAlignment="1">
      <alignment horizontal="left"/>
    </xf>
    <xf numFmtId="0" fontId="19" fillId="0" borderId="4" xfId="0" applyFont="1" applyBorder="1" applyAlignment="1">
      <alignment horizontal="left"/>
    </xf>
    <xf numFmtId="0" fontId="16" fillId="0" borderId="18" xfId="0" applyFont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  <xf numFmtId="0" fontId="16" fillId="0" borderId="19" xfId="0" applyFont="1" applyBorder="1" applyAlignment="1">
      <alignment horizontal="left" vertical="center"/>
    </xf>
    <xf numFmtId="0" fontId="16" fillId="0" borderId="20" xfId="0" applyFont="1" applyBorder="1" applyAlignment="1">
      <alignment horizontal="left" vertical="center"/>
    </xf>
    <xf numFmtId="0" fontId="16" fillId="0" borderId="23" xfId="0" applyFont="1" applyBorder="1" applyAlignment="1">
      <alignment horizontal="left" vertical="center"/>
    </xf>
    <xf numFmtId="0" fontId="16" fillId="0" borderId="3" xfId="0" applyFont="1" applyBorder="1" applyAlignment="1">
      <alignment horizontal="left" vertical="center"/>
    </xf>
    <xf numFmtId="0" fontId="16" fillId="0" borderId="4" xfId="0" applyFont="1" applyBorder="1" applyAlignment="1">
      <alignment horizontal="left" vertical="center"/>
    </xf>
    <xf numFmtId="0" fontId="0" fillId="0" borderId="27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21" fillId="0" borderId="23" xfId="0" applyFont="1" applyBorder="1" applyAlignment="1">
      <alignment horizontal="left"/>
    </xf>
    <xf numFmtId="0" fontId="23" fillId="0" borderId="3" xfId="0" applyFont="1" applyBorder="1" applyAlignment="1">
      <alignment horizontal="left"/>
    </xf>
    <xf numFmtId="0" fontId="23" fillId="0" borderId="4" xfId="0" applyFont="1" applyBorder="1" applyAlignment="1">
      <alignment horizontal="left"/>
    </xf>
    <xf numFmtId="0" fontId="21" fillId="0" borderId="3" xfId="0" applyFont="1" applyBorder="1" applyAlignment="1">
      <alignment horizontal="left"/>
    </xf>
    <xf numFmtId="0" fontId="21" fillId="0" borderId="4" xfId="0" applyFont="1" applyBorder="1" applyAlignment="1">
      <alignment horizontal="left"/>
    </xf>
    <xf numFmtId="0" fontId="16" fillId="0" borderId="18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6" fillId="0" borderId="24" xfId="0" applyFont="1" applyBorder="1" applyAlignment="1">
      <alignment horizontal="left"/>
    </xf>
    <xf numFmtId="0" fontId="16" fillId="0" borderId="25" xfId="0" applyFont="1" applyBorder="1" applyAlignment="1">
      <alignment horizontal="left"/>
    </xf>
    <xf numFmtId="0" fontId="16" fillId="0" borderId="26" xfId="0" applyFont="1" applyBorder="1" applyAlignment="1">
      <alignment horizontal="left"/>
    </xf>
    <xf numFmtId="0" fontId="24" fillId="0" borderId="23" xfId="0" applyFont="1" applyBorder="1" applyAlignment="1">
      <alignment horizontal="left"/>
    </xf>
    <xf numFmtId="0" fontId="24" fillId="0" borderId="3" xfId="0" applyFont="1" applyBorder="1" applyAlignment="1">
      <alignment horizontal="left"/>
    </xf>
    <xf numFmtId="0" fontId="24" fillId="0" borderId="11" xfId="0" applyFont="1" applyBorder="1" applyAlignment="1">
      <alignment horizontal="left"/>
    </xf>
    <xf numFmtId="0" fontId="16" fillId="0" borderId="23" xfId="0" applyFont="1" applyBorder="1" applyAlignment="1">
      <alignment vertical="center"/>
    </xf>
    <xf numFmtId="0" fontId="16" fillId="0" borderId="3" xfId="0" applyFont="1" applyBorder="1" applyAlignment="1">
      <alignment vertical="center"/>
    </xf>
    <xf numFmtId="0" fontId="16" fillId="0" borderId="4" xfId="0" applyFont="1" applyBorder="1" applyAlignment="1">
      <alignment vertical="center"/>
    </xf>
    <xf numFmtId="0" fontId="0" fillId="0" borderId="44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5" borderId="47" xfId="0" applyFill="1" applyBorder="1" applyAlignment="1">
      <alignment horizontal="center" vertical="center"/>
    </xf>
    <xf numFmtId="0" fontId="0" fillId="5" borderId="45" xfId="0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</cellXfs>
  <cellStyles count="5">
    <cellStyle name="Excel Built-in Normal" xfId="3" xr:uid="{508EAB8E-8128-4788-901B-30AD6A00EE56}"/>
    <cellStyle name="Hyperlink" xfId="1" builtinId="8"/>
    <cellStyle name="Normal" xfId="0" builtinId="0"/>
    <cellStyle name="Normal 2" xfId="2" xr:uid="{4AA704AE-CD65-4A70-BD32-D7C31CE36D14}"/>
    <cellStyle name="Normal 3" xfId="4" xr:uid="{1E77410F-7562-4D48-8E46-1E4CAC79E125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gif"/><Relationship Id="rId2" Type="http://schemas.openxmlformats.org/officeDocument/2006/relationships/image" Target="../media/image2.gif"/><Relationship Id="rId1" Type="http://schemas.openxmlformats.org/officeDocument/2006/relationships/image" Target="../media/image1.gif"/><Relationship Id="rId5" Type="http://schemas.openxmlformats.org/officeDocument/2006/relationships/image" Target="../media/image5.gif"/><Relationship Id="rId4" Type="http://schemas.openxmlformats.org/officeDocument/2006/relationships/image" Target="../media/image4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9</xdr:row>
      <xdr:rowOff>45720</xdr:rowOff>
    </xdr:from>
    <xdr:to>
      <xdr:col>4</xdr:col>
      <xdr:colOff>457200</xdr:colOff>
      <xdr:row>11</xdr:row>
      <xdr:rowOff>91440</xdr:rowOff>
    </xdr:to>
    <xdr:pic>
      <xdr:nvPicPr>
        <xdr:cNvPr id="1025" name="Picture 1" descr="https://www.riigiteataja.ee/aktilisa/1020/6202/0013/7.gif">
          <a:extLst>
            <a:ext uri="{FF2B5EF4-FFF2-40B4-BE49-F238E27FC236}">
              <a16:creationId xmlns:a16="http://schemas.microsoft.com/office/drawing/2014/main" id="{00000000-0008-0000-04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04800" y="1691640"/>
          <a:ext cx="3017520" cy="41148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236220</xdr:colOff>
      <xdr:row>19</xdr:row>
      <xdr:rowOff>30480</xdr:rowOff>
    </xdr:from>
    <xdr:to>
      <xdr:col>5</xdr:col>
      <xdr:colOff>1905</xdr:colOff>
      <xdr:row>21</xdr:row>
      <xdr:rowOff>53340</xdr:rowOff>
    </xdr:to>
    <xdr:pic>
      <xdr:nvPicPr>
        <xdr:cNvPr id="1027" name="Picture 3" descr="https://www.riigiteataja.ee/aktilisa/1020/6202/0013/8.gif">
          <a:extLst>
            <a:ext uri="{FF2B5EF4-FFF2-40B4-BE49-F238E27FC236}">
              <a16:creationId xmlns:a16="http://schemas.microsoft.com/office/drawing/2014/main" id="{00000000-0008-0000-0400-00000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36220" y="3688080"/>
          <a:ext cx="3726180" cy="38862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160020</xdr:colOff>
      <xdr:row>37</xdr:row>
      <xdr:rowOff>45720</xdr:rowOff>
    </xdr:from>
    <xdr:to>
      <xdr:col>3</xdr:col>
      <xdr:colOff>647700</xdr:colOff>
      <xdr:row>39</xdr:row>
      <xdr:rowOff>152400</xdr:rowOff>
    </xdr:to>
    <xdr:pic>
      <xdr:nvPicPr>
        <xdr:cNvPr id="1029" name="Picture 5" descr="https://www.riigiteataja.ee/aktilisa/1020/6202/0013/4.gif">
          <a:extLst>
            <a:ext uri="{FF2B5EF4-FFF2-40B4-BE49-F238E27FC236}">
              <a16:creationId xmlns:a16="http://schemas.microsoft.com/office/drawing/2014/main" id="{00000000-0008-0000-0400-00000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60020" y="7178040"/>
          <a:ext cx="2468880" cy="48768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342900</xdr:colOff>
      <xdr:row>46</xdr:row>
      <xdr:rowOff>45720</xdr:rowOff>
    </xdr:from>
    <xdr:to>
      <xdr:col>4</xdr:col>
      <xdr:colOff>935355</xdr:colOff>
      <xdr:row>48</xdr:row>
      <xdr:rowOff>91440</xdr:rowOff>
    </xdr:to>
    <xdr:pic>
      <xdr:nvPicPr>
        <xdr:cNvPr id="1032" name="Picture 8" descr="https://www.riigiteataja.ee/aktilisa/1020/6202/0013/1.gif">
          <a:extLst>
            <a:ext uri="{FF2B5EF4-FFF2-40B4-BE49-F238E27FC236}">
              <a16:creationId xmlns:a16="http://schemas.microsoft.com/office/drawing/2014/main" id="{00000000-0008-0000-0400-00000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342900" y="10652760"/>
          <a:ext cx="3489960" cy="42672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601980</xdr:colOff>
      <xdr:row>57</xdr:row>
      <xdr:rowOff>7620</xdr:rowOff>
    </xdr:from>
    <xdr:to>
      <xdr:col>3</xdr:col>
      <xdr:colOff>320040</xdr:colOff>
      <xdr:row>59</xdr:row>
      <xdr:rowOff>114300</xdr:rowOff>
    </xdr:to>
    <xdr:pic>
      <xdr:nvPicPr>
        <xdr:cNvPr id="1034" name="Picture 10" descr="https://www.riigiteataja.ee/aktilisa/1020/6202/0013/3.gif">
          <a:extLst>
            <a:ext uri="{FF2B5EF4-FFF2-40B4-BE49-F238E27FC236}">
              <a16:creationId xmlns:a16="http://schemas.microsoft.com/office/drawing/2014/main" id="{00000000-0008-0000-0400-00000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601980" y="13723620"/>
          <a:ext cx="1699260" cy="48768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3.epa.gov/ttn/chief/ap42/ch13/final/c13s0204.pdf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canada.ca/en/environment-climate-change/services/national-pollutant-release-inventory/report/pits-quarries-guide.html" TargetMode="External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8"/>
  <sheetViews>
    <sheetView workbookViewId="0">
      <selection activeCell="B27" sqref="B27"/>
    </sheetView>
  </sheetViews>
  <sheetFormatPr defaultRowHeight="14.4" x14ac:dyDescent="0.3"/>
  <cols>
    <col min="1" max="1" width="7" customWidth="1"/>
    <col min="2" max="2" width="30.109375" customWidth="1"/>
    <col min="3" max="12" width="12.44140625" customWidth="1"/>
    <col min="13" max="13" width="8.109375" customWidth="1"/>
    <col min="14" max="14" width="11.109375" customWidth="1"/>
    <col min="15" max="15" width="4.109375" customWidth="1"/>
    <col min="16" max="16" width="28.6640625" customWidth="1"/>
    <col min="17" max="17" width="16.33203125" customWidth="1"/>
    <col min="18" max="18" width="13.5546875" customWidth="1"/>
    <col min="19" max="19" width="13.44140625" customWidth="1"/>
  </cols>
  <sheetData>
    <row r="1" spans="1:19" ht="28.8" x14ac:dyDescent="0.3">
      <c r="A1" s="360" t="s">
        <v>96</v>
      </c>
      <c r="B1" s="353" t="s">
        <v>269</v>
      </c>
      <c r="C1" s="355" t="s">
        <v>270</v>
      </c>
      <c r="D1" s="357" t="s">
        <v>271</v>
      </c>
      <c r="E1" s="358"/>
      <c r="F1" s="359"/>
      <c r="G1" s="357" t="s">
        <v>272</v>
      </c>
      <c r="H1" s="358"/>
      <c r="I1" s="359"/>
      <c r="J1" s="352" t="s">
        <v>273</v>
      </c>
      <c r="K1" s="352"/>
      <c r="L1" s="352"/>
      <c r="M1" s="182" t="s">
        <v>284</v>
      </c>
      <c r="N1" s="166" t="s">
        <v>274</v>
      </c>
      <c r="O1" s="168"/>
      <c r="P1" t="s">
        <v>255</v>
      </c>
      <c r="Q1" s="159" t="s">
        <v>256</v>
      </c>
      <c r="R1" s="160"/>
    </row>
    <row r="2" spans="1:19" ht="14.4" customHeight="1" x14ac:dyDescent="0.3">
      <c r="A2" s="361"/>
      <c r="B2" s="354"/>
      <c r="C2" s="356"/>
      <c r="D2" s="167" t="s">
        <v>24</v>
      </c>
      <c r="E2" s="167" t="s">
        <v>26</v>
      </c>
      <c r="F2" s="167" t="s">
        <v>275</v>
      </c>
      <c r="G2" s="167" t="s">
        <v>24</v>
      </c>
      <c r="H2" s="167" t="s">
        <v>26</v>
      </c>
      <c r="I2" s="167" t="s">
        <v>275</v>
      </c>
      <c r="J2" s="167" t="s">
        <v>276</v>
      </c>
      <c r="K2" s="167" t="s">
        <v>26</v>
      </c>
      <c r="L2" s="167" t="s">
        <v>275</v>
      </c>
      <c r="M2" s="181" t="s">
        <v>119</v>
      </c>
      <c r="N2" s="166" t="s">
        <v>119</v>
      </c>
      <c r="O2" s="168"/>
      <c r="P2" s="161" t="s">
        <v>257</v>
      </c>
    </row>
    <row r="3" spans="1:19" x14ac:dyDescent="0.3">
      <c r="A3" s="19" t="s">
        <v>242</v>
      </c>
      <c r="B3" s="1" t="s">
        <v>345</v>
      </c>
      <c r="C3" s="267">
        <v>9000000</v>
      </c>
      <c r="D3" s="176">
        <f>R17</f>
        <v>2.2747447370623315E-4</v>
      </c>
      <c r="E3" s="176">
        <f>R18</f>
        <v>1.0758927810429945E-4</v>
      </c>
      <c r="F3" s="176">
        <f>R19</f>
        <v>1.6292090684365347E-5</v>
      </c>
      <c r="G3" s="16">
        <f>D3*C3/1000</f>
        <v>2.0472702633560984</v>
      </c>
      <c r="H3" s="16">
        <f>E3*C3/1000</f>
        <v>0.96830350293869505</v>
      </c>
      <c r="I3" s="16">
        <f>F3*C3/1000</f>
        <v>0.14662881615928813</v>
      </c>
      <c r="J3" s="16">
        <f>G3*1000000/(N3*3600)</f>
        <v>6.4918514185568821E-2</v>
      </c>
      <c r="K3" s="16">
        <f>H3*1000000/(N3*3600)</f>
        <v>3.0704702655336601E-2</v>
      </c>
      <c r="L3" s="16">
        <f>I3*1000000/(N3*3600)</f>
        <v>4.649569259236686E-3</v>
      </c>
      <c r="M3" s="47">
        <v>24</v>
      </c>
      <c r="N3" s="1">
        <v>8760</v>
      </c>
      <c r="P3" t="s">
        <v>281</v>
      </c>
      <c r="Q3" s="162" t="s">
        <v>258</v>
      </c>
      <c r="R3" s="162">
        <v>3.5</v>
      </c>
      <c r="S3" s="163" t="s">
        <v>106</v>
      </c>
    </row>
    <row r="4" spans="1:19" x14ac:dyDescent="0.3">
      <c r="A4" s="19" t="s">
        <v>242</v>
      </c>
      <c r="B4" s="1" t="s">
        <v>345</v>
      </c>
      <c r="C4" s="195">
        <v>1000000</v>
      </c>
      <c r="D4" s="176">
        <f>D6</f>
        <v>2.2747447370623315E-4</v>
      </c>
      <c r="E4" s="176">
        <f>E6</f>
        <v>1.0758927810429945E-4</v>
      </c>
      <c r="F4" s="176">
        <f>F6</f>
        <v>1.6292090684365347E-5</v>
      </c>
      <c r="G4" s="16">
        <f>D4*C4/1000</f>
        <v>0.22747447370623314</v>
      </c>
      <c r="H4" s="16">
        <f>E4*C4/1000</f>
        <v>0.10758927810429945</v>
      </c>
      <c r="I4" s="16">
        <f>F4*C4/1000</f>
        <v>1.6292090684365348E-2</v>
      </c>
      <c r="J4" s="16">
        <f>G4*1000000/(N4*3600)</f>
        <v>7.2131682428409798E-3</v>
      </c>
      <c r="K4" s="16">
        <f>H4*1000000/(N4*3600)</f>
        <v>3.4116336283707338E-3</v>
      </c>
      <c r="L4" s="16">
        <f>I4*1000000/(N4*3600)</f>
        <v>5.1661880658185398E-4</v>
      </c>
      <c r="M4" s="47">
        <v>16</v>
      </c>
      <c r="N4" s="1">
        <v>8760</v>
      </c>
      <c r="P4" s="160"/>
      <c r="Q4" s="162" t="s">
        <v>259</v>
      </c>
      <c r="R4" s="162">
        <v>2</v>
      </c>
      <c r="S4" s="163" t="s">
        <v>3</v>
      </c>
    </row>
    <row r="5" spans="1:19" x14ac:dyDescent="0.3">
      <c r="A5" s="186"/>
      <c r="B5" s="187" t="s">
        <v>323</v>
      </c>
      <c r="C5" s="196"/>
      <c r="D5" s="188"/>
      <c r="E5" s="188"/>
      <c r="F5" s="188"/>
      <c r="G5" s="232">
        <f>G3+G4</f>
        <v>2.2747447370623317</v>
      </c>
      <c r="H5" s="232">
        <f>H3+H4</f>
        <v>1.0758927810429946</v>
      </c>
      <c r="I5" s="232">
        <f>I3+I4</f>
        <v>0.16292090684365348</v>
      </c>
      <c r="J5" s="232">
        <f>G5*1000000/(N5*3600)</f>
        <v>7.213168242840981E-2</v>
      </c>
      <c r="K5" s="232">
        <f>H5*1000000/(N5*3600)</f>
        <v>3.4116336283707333E-2</v>
      </c>
      <c r="L5" s="232">
        <f>I5*1000000/(N5*3600)</f>
        <v>5.1661880658185402E-3</v>
      </c>
      <c r="M5" s="189"/>
      <c r="N5" s="188">
        <v>8760</v>
      </c>
      <c r="P5" s="160"/>
      <c r="Q5" s="162" t="s">
        <v>260</v>
      </c>
      <c r="R5" s="162">
        <v>0.74</v>
      </c>
      <c r="S5" s="163" t="s">
        <v>261</v>
      </c>
    </row>
    <row r="6" spans="1:19" x14ac:dyDescent="0.3">
      <c r="A6" s="19" t="s">
        <v>243</v>
      </c>
      <c r="B6" s="1" t="s">
        <v>244</v>
      </c>
      <c r="C6" s="267">
        <v>1000000</v>
      </c>
      <c r="D6" s="176">
        <f>D3</f>
        <v>2.2747447370623315E-4</v>
      </c>
      <c r="E6" s="176">
        <f>E3</f>
        <v>1.0758927810429945E-4</v>
      </c>
      <c r="F6" s="176">
        <f>F3</f>
        <v>1.6292090684365347E-5</v>
      </c>
      <c r="G6" s="16">
        <f t="shared" ref="G6:G11" si="0">D6*C6/1000</f>
        <v>0.22747447370623314</v>
      </c>
      <c r="H6" s="16">
        <f t="shared" ref="H6:H11" si="1">E6*C6/1000</f>
        <v>0.10758927810429945</v>
      </c>
      <c r="I6" s="16">
        <f t="shared" ref="I6:I11" si="2">F6*C6/1000</f>
        <v>1.6292090684365348E-2</v>
      </c>
      <c r="J6" s="16">
        <f>G6*1000000/(N6*3600)</f>
        <v>1.081975236426147E-2</v>
      </c>
      <c r="K6" s="16">
        <f>H6*1000000/(N6*3600)</f>
        <v>5.1174504425561011E-3</v>
      </c>
      <c r="L6" s="16">
        <f>I6*1000000/(N6*3600)</f>
        <v>7.7492820987278108E-4</v>
      </c>
      <c r="M6" s="47">
        <v>16</v>
      </c>
      <c r="N6" s="1">
        <v>5840</v>
      </c>
      <c r="P6" s="160"/>
      <c r="Q6" s="162" t="s">
        <v>262</v>
      </c>
      <c r="R6" s="162">
        <v>0.35</v>
      </c>
      <c r="S6" s="163" t="s">
        <v>263</v>
      </c>
    </row>
    <row r="7" spans="1:19" x14ac:dyDescent="0.3">
      <c r="A7" s="19" t="s">
        <v>245</v>
      </c>
      <c r="B7" s="1" t="s">
        <v>246</v>
      </c>
      <c r="C7" s="195">
        <v>3600000</v>
      </c>
      <c r="D7" s="176">
        <f>R26</f>
        <v>2.2747447370623315E-4</v>
      </c>
      <c r="E7" s="176">
        <f>R27</f>
        <v>1.0758927810429945E-4</v>
      </c>
      <c r="F7" s="176">
        <f>R28</f>
        <v>1.6292090684365347E-5</v>
      </c>
      <c r="G7" s="16">
        <f t="shared" si="0"/>
        <v>0.8189081053424393</v>
      </c>
      <c r="H7" s="16">
        <f t="shared" si="1"/>
        <v>0.38732140117547798</v>
      </c>
      <c r="I7" s="16">
        <f t="shared" si="2"/>
        <v>5.8651526463715249E-2</v>
      </c>
      <c r="J7" s="16">
        <f t="shared" ref="J7:J11" si="3">G7*1000000/(N7*3600)</f>
        <v>3.8951108511341287E-2</v>
      </c>
      <c r="K7" s="16">
        <f t="shared" ref="K7:K11" si="4">H7*1000000/(N7*3600)</f>
        <v>1.8422821593201959E-2</v>
      </c>
      <c r="L7" s="16">
        <f t="shared" ref="L7:L11" si="5">I7*1000000/(N7*3600)</f>
        <v>2.7897415555420114E-3</v>
      </c>
      <c r="M7" s="47">
        <v>16</v>
      </c>
      <c r="N7" s="1">
        <v>5840</v>
      </c>
      <c r="P7" s="160"/>
      <c r="Q7" s="162" t="s">
        <v>264</v>
      </c>
      <c r="R7" s="162">
        <v>5.2999999999999999E-2</v>
      </c>
      <c r="S7" s="163" t="s">
        <v>263</v>
      </c>
    </row>
    <row r="8" spans="1:19" x14ac:dyDescent="0.3">
      <c r="A8" s="19" t="s">
        <v>247</v>
      </c>
      <c r="B8" s="1" t="s">
        <v>248</v>
      </c>
      <c r="C8" s="195">
        <v>3600000</v>
      </c>
      <c r="D8" s="176">
        <f>D7</f>
        <v>2.2747447370623315E-4</v>
      </c>
      <c r="E8" s="176">
        <f>E7</f>
        <v>1.0758927810429945E-4</v>
      </c>
      <c r="F8" s="176">
        <f>F7</f>
        <v>1.6292090684365347E-5</v>
      </c>
      <c r="G8" s="16">
        <f t="shared" si="0"/>
        <v>0.8189081053424393</v>
      </c>
      <c r="H8" s="16">
        <f t="shared" si="1"/>
        <v>0.38732140117547798</v>
      </c>
      <c r="I8" s="16">
        <f t="shared" si="2"/>
        <v>5.8651526463715249E-2</v>
      </c>
      <c r="J8" s="16">
        <f t="shared" si="3"/>
        <v>3.8951108511341287E-2</v>
      </c>
      <c r="K8" s="16">
        <f t="shared" si="4"/>
        <v>1.8422821593201959E-2</v>
      </c>
      <c r="L8" s="16">
        <f t="shared" si="5"/>
        <v>2.7897415555420114E-3</v>
      </c>
      <c r="M8" s="47">
        <v>16</v>
      </c>
      <c r="N8" s="1">
        <v>5840</v>
      </c>
      <c r="P8" s="160"/>
      <c r="Q8" s="164" t="s">
        <v>265</v>
      </c>
      <c r="R8" s="165">
        <f>R5*0.0016*(R3/2.2)^1.3/(R4/2)^1.4</f>
        <v>2.1651633891409611E-3</v>
      </c>
      <c r="S8" s="163" t="s">
        <v>266</v>
      </c>
    </row>
    <row r="9" spans="1:19" x14ac:dyDescent="0.3">
      <c r="A9" s="19" t="s">
        <v>249</v>
      </c>
      <c r="B9" s="1" t="s">
        <v>250</v>
      </c>
      <c r="C9" s="195">
        <v>400000</v>
      </c>
      <c r="D9" s="176">
        <f>R8</f>
        <v>2.1651633891409611E-3</v>
      </c>
      <c r="E9" s="176">
        <f>R9</f>
        <v>1.0240637651342383E-3</v>
      </c>
      <c r="F9" s="176">
        <f>R10</f>
        <v>1.550725130060418E-4</v>
      </c>
      <c r="G9" s="16">
        <f t="shared" si="0"/>
        <v>0.86606535565638443</v>
      </c>
      <c r="H9" s="16">
        <f t="shared" si="1"/>
        <v>0.4096255060536953</v>
      </c>
      <c r="I9" s="16">
        <f t="shared" si="2"/>
        <v>6.202900520241672E-2</v>
      </c>
      <c r="J9" s="16">
        <f t="shared" si="3"/>
        <v>4.1194128408313567E-2</v>
      </c>
      <c r="K9" s="16">
        <f t="shared" si="4"/>
        <v>1.9483709382310466E-2</v>
      </c>
      <c r="L9" s="16">
        <f t="shared" si="5"/>
        <v>2.9503902778927286E-3</v>
      </c>
      <c r="M9" s="47">
        <v>16</v>
      </c>
      <c r="N9" s="1">
        <v>5840</v>
      </c>
      <c r="P9" s="160"/>
      <c r="Q9" s="164" t="s">
        <v>267</v>
      </c>
      <c r="R9" s="165">
        <f>R6*0.0016*(R3/2.2)^1.3/(R4/2)^1.4</f>
        <v>1.0240637651342383E-3</v>
      </c>
      <c r="S9" s="163" t="s">
        <v>266</v>
      </c>
    </row>
    <row r="10" spans="1:19" x14ac:dyDescent="0.3">
      <c r="A10" s="19" t="s">
        <v>251</v>
      </c>
      <c r="B10" s="1" t="s">
        <v>252</v>
      </c>
      <c r="C10" s="195">
        <v>400000</v>
      </c>
      <c r="D10" s="176">
        <f>D9</f>
        <v>2.1651633891409611E-3</v>
      </c>
      <c r="E10" s="176">
        <f>E9</f>
        <v>1.0240637651342383E-3</v>
      </c>
      <c r="F10" s="176">
        <f>F9</f>
        <v>1.550725130060418E-4</v>
      </c>
      <c r="G10" s="16">
        <f t="shared" si="0"/>
        <v>0.86606535565638443</v>
      </c>
      <c r="H10" s="16">
        <f t="shared" si="1"/>
        <v>0.4096255060536953</v>
      </c>
      <c r="I10" s="16">
        <f t="shared" si="2"/>
        <v>6.202900520241672E-2</v>
      </c>
      <c r="J10" s="16">
        <f t="shared" si="3"/>
        <v>4.1194128408313567E-2</v>
      </c>
      <c r="K10" s="16">
        <f t="shared" si="4"/>
        <v>1.9483709382310466E-2</v>
      </c>
      <c r="L10" s="16">
        <f t="shared" si="5"/>
        <v>2.9503902778927286E-3</v>
      </c>
      <c r="M10" s="47">
        <v>16</v>
      </c>
      <c r="N10" s="1">
        <v>5840</v>
      </c>
      <c r="Q10" s="164" t="s">
        <v>268</v>
      </c>
      <c r="R10" s="165">
        <f>R7*0.0016*(R3/2.2)^1.3/(R4/2)^1.4</f>
        <v>1.550725130060418E-4</v>
      </c>
      <c r="S10" s="163" t="s">
        <v>266</v>
      </c>
    </row>
    <row r="11" spans="1:19" x14ac:dyDescent="0.3">
      <c r="A11" s="19" t="s">
        <v>254</v>
      </c>
      <c r="B11" s="1" t="s">
        <v>253</v>
      </c>
      <c r="C11" s="195">
        <v>400000</v>
      </c>
      <c r="D11" s="176">
        <f>D9</f>
        <v>2.1651633891409611E-3</v>
      </c>
      <c r="E11" s="176">
        <f t="shared" ref="E11:F11" si="6">E9</f>
        <v>1.0240637651342383E-3</v>
      </c>
      <c r="F11" s="176">
        <f t="shared" si="6"/>
        <v>1.550725130060418E-4</v>
      </c>
      <c r="G11" s="16">
        <f t="shared" si="0"/>
        <v>0.86606535565638443</v>
      </c>
      <c r="H11" s="16">
        <f t="shared" si="1"/>
        <v>0.4096255060536953</v>
      </c>
      <c r="I11" s="16">
        <f t="shared" si="2"/>
        <v>6.202900520241672E-2</v>
      </c>
      <c r="J11" s="16">
        <f t="shared" si="3"/>
        <v>4.1194128408313567E-2</v>
      </c>
      <c r="K11" s="16">
        <f t="shared" si="4"/>
        <v>1.9483709382310466E-2</v>
      </c>
      <c r="L11" s="16">
        <f t="shared" si="5"/>
        <v>2.9503902778927286E-3</v>
      </c>
      <c r="M11" s="47">
        <v>16</v>
      </c>
      <c r="N11" s="1">
        <v>5840</v>
      </c>
      <c r="P11" t="s">
        <v>280</v>
      </c>
      <c r="Q11" t="s">
        <v>282</v>
      </c>
    </row>
    <row r="12" spans="1:19" x14ac:dyDescent="0.3">
      <c r="Q12" s="162" t="s">
        <v>258</v>
      </c>
      <c r="R12" s="162">
        <v>3.5</v>
      </c>
      <c r="S12" s="163" t="s">
        <v>106</v>
      </c>
    </row>
    <row r="13" spans="1:19" x14ac:dyDescent="0.3">
      <c r="J13" s="1"/>
      <c r="K13" s="19" t="s">
        <v>26</v>
      </c>
      <c r="L13" s="19" t="s">
        <v>28</v>
      </c>
      <c r="Q13" s="162" t="s">
        <v>259</v>
      </c>
      <c r="R13" s="162">
        <v>10</v>
      </c>
      <c r="S13" s="163" t="s">
        <v>3</v>
      </c>
    </row>
    <row r="14" spans="1:19" x14ac:dyDescent="0.3">
      <c r="B14" s="1"/>
      <c r="C14" s="19" t="s">
        <v>69</v>
      </c>
      <c r="D14" s="19" t="s">
        <v>69</v>
      </c>
      <c r="E14" s="19" t="s">
        <v>313</v>
      </c>
      <c r="J14" s="1"/>
      <c r="K14" s="19" t="s">
        <v>339</v>
      </c>
      <c r="L14" s="19" t="s">
        <v>339</v>
      </c>
      <c r="Q14" s="162" t="s">
        <v>260</v>
      </c>
      <c r="R14" s="162">
        <v>0.74</v>
      </c>
      <c r="S14" s="163" t="s">
        <v>261</v>
      </c>
    </row>
    <row r="15" spans="1:19" x14ac:dyDescent="0.3">
      <c r="B15" s="1" t="s">
        <v>334</v>
      </c>
      <c r="C15" s="1">
        <v>15</v>
      </c>
      <c r="D15" s="218">
        <v>15</v>
      </c>
      <c r="E15" s="1">
        <f t="shared" ref="E15:E20" si="7">C15*D15</f>
        <v>225</v>
      </c>
      <c r="J15" s="19" t="str">
        <f t="shared" ref="J15:J20" si="8">B15</f>
        <v>V2</v>
      </c>
      <c r="K15" s="217">
        <f>K6/E15</f>
        <v>2.2744224189138226E-5</v>
      </c>
      <c r="L15" s="217">
        <f>L6/E15</f>
        <v>3.4441253772123603E-6</v>
      </c>
      <c r="Q15" s="162" t="s">
        <v>262</v>
      </c>
      <c r="R15" s="162">
        <v>0.35</v>
      </c>
      <c r="S15" s="163" t="s">
        <v>263</v>
      </c>
    </row>
    <row r="16" spans="1:19" x14ac:dyDescent="0.3">
      <c r="B16" s="1" t="s">
        <v>335</v>
      </c>
      <c r="C16" s="1">
        <v>10</v>
      </c>
      <c r="D16" s="1">
        <v>20</v>
      </c>
      <c r="E16" s="1">
        <f t="shared" si="7"/>
        <v>200</v>
      </c>
      <c r="J16" s="19" t="str">
        <f t="shared" si="8"/>
        <v>V3</v>
      </c>
      <c r="K16" s="217">
        <f>K7/E16</f>
        <v>9.2114107966009796E-5</v>
      </c>
      <c r="L16" s="217">
        <f>L7/E16</f>
        <v>1.3948707777710056E-5</v>
      </c>
      <c r="Q16" s="162" t="s">
        <v>264</v>
      </c>
      <c r="R16" s="162">
        <v>5.2999999999999999E-2</v>
      </c>
      <c r="S16" s="163" t="s">
        <v>263</v>
      </c>
    </row>
    <row r="17" spans="1:19" x14ac:dyDescent="0.3">
      <c r="B17" s="1" t="s">
        <v>336</v>
      </c>
      <c r="C17" s="1">
        <v>12</v>
      </c>
      <c r="D17" s="219">
        <v>12</v>
      </c>
      <c r="E17" s="1">
        <f t="shared" si="7"/>
        <v>144</v>
      </c>
      <c r="J17" s="19" t="str">
        <f t="shared" si="8"/>
        <v>V4</v>
      </c>
      <c r="K17" s="217">
        <f>K8/E17</f>
        <v>1.279362610639025E-4</v>
      </c>
      <c r="L17" s="217">
        <f>L8/E17</f>
        <v>1.9373205246819522E-5</v>
      </c>
      <c r="Q17" s="164" t="s">
        <v>265</v>
      </c>
      <c r="R17" s="165">
        <f>R14*0.0016*(R12/2.2)^1.3/(R13/2)^1.4</f>
        <v>2.2747447370623315E-4</v>
      </c>
      <c r="S17" s="163" t="s">
        <v>266</v>
      </c>
    </row>
    <row r="18" spans="1:19" x14ac:dyDescent="0.3">
      <c r="B18" s="1" t="s">
        <v>249</v>
      </c>
      <c r="C18" s="1">
        <v>20</v>
      </c>
      <c r="D18" s="162">
        <v>20</v>
      </c>
      <c r="E18" s="1">
        <f t="shared" si="7"/>
        <v>400</v>
      </c>
      <c r="J18" s="19" t="str">
        <f t="shared" si="8"/>
        <v>V5</v>
      </c>
      <c r="K18" s="217">
        <f>K9/E18</f>
        <v>4.8709273455776168E-5</v>
      </c>
      <c r="L18" s="217">
        <f>L9/E18</f>
        <v>7.3759756947318215E-6</v>
      </c>
      <c r="Q18" s="164" t="s">
        <v>267</v>
      </c>
      <c r="R18" s="165">
        <f>R15*0.0016*(R12/2.2)^1.3/(R13/2)^1.4</f>
        <v>1.0758927810429945E-4</v>
      </c>
      <c r="S18" s="163" t="s">
        <v>266</v>
      </c>
    </row>
    <row r="19" spans="1:19" x14ac:dyDescent="0.3">
      <c r="B19" s="1" t="s">
        <v>251</v>
      </c>
      <c r="C19" s="1">
        <v>30</v>
      </c>
      <c r="D19" s="162">
        <v>70</v>
      </c>
      <c r="E19" s="1">
        <f t="shared" si="7"/>
        <v>2100</v>
      </c>
      <c r="J19" s="19" t="str">
        <f t="shared" si="8"/>
        <v>V6</v>
      </c>
      <c r="K19" s="217">
        <f t="shared" ref="K19:K20" si="9">K10/E19</f>
        <v>9.2779568487192691E-6</v>
      </c>
      <c r="L19" s="217">
        <f t="shared" ref="L19:L20" si="10">L10/E19</f>
        <v>1.4049477513774897E-6</v>
      </c>
      <c r="Q19" s="164" t="s">
        <v>268</v>
      </c>
      <c r="R19" s="165">
        <f>R16*0.0016*(R12/2.2)^1.3/(R13/2)^1.4</f>
        <v>1.6292090684365347E-5</v>
      </c>
      <c r="S19" s="163" t="s">
        <v>266</v>
      </c>
    </row>
    <row r="20" spans="1:19" x14ac:dyDescent="0.3">
      <c r="B20" s="1" t="s">
        <v>254</v>
      </c>
      <c r="C20" s="1">
        <v>2.5</v>
      </c>
      <c r="D20" s="162">
        <v>20</v>
      </c>
      <c r="E20" s="1">
        <f t="shared" si="7"/>
        <v>50</v>
      </c>
      <c r="J20" s="19" t="str">
        <f t="shared" si="8"/>
        <v>V7</v>
      </c>
      <c r="K20" s="217">
        <f t="shared" si="9"/>
        <v>3.8967418764620934E-4</v>
      </c>
      <c r="L20" s="217">
        <f t="shared" si="10"/>
        <v>5.9007805557854572E-5</v>
      </c>
      <c r="P20" t="s">
        <v>283</v>
      </c>
    </row>
    <row r="21" spans="1:19" x14ac:dyDescent="0.3">
      <c r="Q21" s="162" t="s">
        <v>258</v>
      </c>
      <c r="R21" s="162">
        <v>3.5</v>
      </c>
      <c r="S21" s="163" t="s">
        <v>106</v>
      </c>
    </row>
    <row r="22" spans="1:19" x14ac:dyDescent="0.3">
      <c r="A22" s="172"/>
      <c r="B22" s="174"/>
      <c r="C22" s="161"/>
      <c r="D22" s="161"/>
      <c r="E22" s="177"/>
      <c r="F22" s="177"/>
      <c r="G22" s="177"/>
      <c r="H22" s="177"/>
      <c r="I22" s="177"/>
      <c r="J22" s="177"/>
      <c r="K22" s="177"/>
      <c r="L22" s="168"/>
      <c r="Q22" s="162" t="s">
        <v>259</v>
      </c>
      <c r="R22" s="162">
        <v>10</v>
      </c>
      <c r="S22" s="163" t="s">
        <v>3</v>
      </c>
    </row>
    <row r="23" spans="1:19" x14ac:dyDescent="0.3">
      <c r="A23" s="173"/>
      <c r="B23" s="174"/>
      <c r="C23" s="169"/>
      <c r="D23" s="169"/>
      <c r="E23" s="178"/>
      <c r="F23" s="178"/>
      <c r="G23" s="178"/>
      <c r="H23" s="178"/>
      <c r="I23" s="178"/>
      <c r="J23" s="178"/>
      <c r="K23" s="178"/>
      <c r="L23" s="168"/>
      <c r="Q23" s="162" t="s">
        <v>260</v>
      </c>
      <c r="R23" s="162">
        <v>0.74</v>
      </c>
      <c r="S23" s="163" t="s">
        <v>261</v>
      </c>
    </row>
    <row r="24" spans="1:19" x14ac:dyDescent="0.3">
      <c r="Q24" s="162" t="s">
        <v>262</v>
      </c>
      <c r="R24" s="162">
        <v>0.35</v>
      </c>
      <c r="S24" s="163" t="s">
        <v>263</v>
      </c>
    </row>
    <row r="25" spans="1:19" x14ac:dyDescent="0.3">
      <c r="B25" s="175"/>
      <c r="C25" s="170"/>
      <c r="D25" s="170"/>
      <c r="E25" s="170"/>
      <c r="F25" s="180"/>
      <c r="G25" s="180"/>
      <c r="H25" s="180"/>
      <c r="I25" s="180"/>
      <c r="J25" s="180"/>
      <c r="K25" s="180"/>
      <c r="L25" s="17"/>
      <c r="Q25" s="162" t="s">
        <v>264</v>
      </c>
      <c r="R25" s="162">
        <v>5.2999999999999999E-2</v>
      </c>
      <c r="S25" s="163" t="s">
        <v>263</v>
      </c>
    </row>
    <row r="26" spans="1:19" x14ac:dyDescent="0.3">
      <c r="C26" s="2"/>
      <c r="D26" s="2"/>
      <c r="E26" s="2"/>
      <c r="F26" s="171"/>
      <c r="G26" s="171"/>
      <c r="H26" s="171"/>
      <c r="I26" s="180"/>
      <c r="J26" s="180"/>
      <c r="K26" s="180"/>
      <c r="L26" s="17"/>
      <c r="Q26" s="164" t="s">
        <v>265</v>
      </c>
      <c r="R26" s="165">
        <f>R23*0.0016*(R21/2.2)^1.3/(R22/2)^1.4</f>
        <v>2.2747447370623315E-4</v>
      </c>
      <c r="S26" s="163" t="s">
        <v>266</v>
      </c>
    </row>
    <row r="27" spans="1:19" x14ac:dyDescent="0.3">
      <c r="F27" s="46"/>
      <c r="G27" s="46"/>
      <c r="H27" s="46"/>
      <c r="I27" s="46"/>
      <c r="J27" s="179"/>
      <c r="K27" s="179"/>
      <c r="L27" s="171"/>
      <c r="Q27" s="164" t="s">
        <v>267</v>
      </c>
      <c r="R27" s="165">
        <f>R24*0.0016*(R21/2.2)^1.3/(R22/2)^1.4</f>
        <v>1.0758927810429945E-4</v>
      </c>
      <c r="S27" s="163" t="s">
        <v>266</v>
      </c>
    </row>
    <row r="28" spans="1:19" x14ac:dyDescent="0.3">
      <c r="Q28" s="164" t="s">
        <v>268</v>
      </c>
      <c r="R28" s="165">
        <f>R25*0.0016*(R21/2.2)^1.3/(R22/2)^1.4</f>
        <v>1.6292090684365347E-5</v>
      </c>
      <c r="S28" s="163" t="s">
        <v>266</v>
      </c>
    </row>
  </sheetData>
  <mergeCells count="6">
    <mergeCell ref="J1:L1"/>
    <mergeCell ref="B1:B2"/>
    <mergeCell ref="C1:C2"/>
    <mergeCell ref="D1:F1"/>
    <mergeCell ref="A1:A2"/>
    <mergeCell ref="G1:I1"/>
  </mergeCells>
  <hyperlinks>
    <hyperlink ref="Q1" r:id="rId1" xr:uid="{00000000-0004-0000-0000-000000000000}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53"/>
  <sheetViews>
    <sheetView zoomScaleNormal="100" workbookViewId="0">
      <selection activeCell="J47" sqref="J47"/>
    </sheetView>
  </sheetViews>
  <sheetFormatPr defaultRowHeight="14.4" x14ac:dyDescent="0.3"/>
  <cols>
    <col min="1" max="1" width="27.109375" customWidth="1"/>
    <col min="2" max="2" width="26.109375" customWidth="1"/>
    <col min="3" max="3" width="16.6640625" customWidth="1"/>
    <col min="4" max="4" width="18.88671875" customWidth="1"/>
    <col min="5" max="5" width="16" customWidth="1"/>
    <col min="6" max="6" width="17.109375" customWidth="1"/>
    <col min="7" max="7" width="15" customWidth="1"/>
    <col min="8" max="8" width="6.88671875" customWidth="1"/>
    <col min="9" max="10" width="16.6640625" customWidth="1"/>
    <col min="11" max="11" width="15.6640625" customWidth="1"/>
    <col min="12" max="12" width="15.33203125" customWidth="1"/>
    <col min="13" max="13" width="15.44140625" customWidth="1"/>
    <col min="14" max="14" width="11.33203125" customWidth="1"/>
    <col min="15" max="15" width="12.5546875" customWidth="1"/>
    <col min="16" max="16" width="9" bestFit="1" customWidth="1"/>
  </cols>
  <sheetData>
    <row r="1" spans="1:15" x14ac:dyDescent="0.3">
      <c r="A1" t="s">
        <v>352</v>
      </c>
      <c r="E1">
        <v>3</v>
      </c>
      <c r="G1">
        <v>4</v>
      </c>
    </row>
    <row r="2" spans="1:15" s="17" customFormat="1" ht="28.8" x14ac:dyDescent="0.3">
      <c r="A2" s="22"/>
      <c r="B2" s="22" t="s">
        <v>115</v>
      </c>
      <c r="C2" s="362" t="s">
        <v>104</v>
      </c>
      <c r="D2" s="362"/>
      <c r="E2" s="23" t="s">
        <v>278</v>
      </c>
      <c r="F2" s="23" t="s">
        <v>116</v>
      </c>
      <c r="G2" s="22" t="s">
        <v>102</v>
      </c>
      <c r="I2" s="263" t="s">
        <v>347</v>
      </c>
      <c r="J2" s="263" t="s">
        <v>346</v>
      </c>
      <c r="K2" s="263" t="s">
        <v>61</v>
      </c>
      <c r="L2" s="263" t="s">
        <v>87</v>
      </c>
      <c r="M2" s="264" t="s">
        <v>358</v>
      </c>
      <c r="N2" s="263" t="s">
        <v>342</v>
      </c>
      <c r="O2" s="263" t="s">
        <v>339</v>
      </c>
    </row>
    <row r="3" spans="1:15" s="17" customFormat="1" x14ac:dyDescent="0.3">
      <c r="A3" s="22"/>
      <c r="B3" s="22"/>
      <c r="C3" s="22" t="s">
        <v>107</v>
      </c>
      <c r="D3" s="22" t="s">
        <v>108</v>
      </c>
      <c r="E3" s="22" t="s">
        <v>69</v>
      </c>
      <c r="F3" s="22" t="s">
        <v>69</v>
      </c>
      <c r="G3" s="22" t="s">
        <v>105</v>
      </c>
      <c r="I3" s="116" t="s">
        <v>24</v>
      </c>
      <c r="J3" s="258">
        <f>(C24*C21+C27*C22^1.5*C23)/1000</f>
        <v>1.4182701612277545E-2</v>
      </c>
      <c r="K3" s="265">
        <f>J3*$B$11</f>
        <v>1418.2701612277544</v>
      </c>
      <c r="L3" s="265">
        <f>J3*1000000/(M3*3600)</f>
        <v>3.2830327806198021</v>
      </c>
      <c r="M3" s="194">
        <v>1.2</v>
      </c>
      <c r="N3" s="367">
        <v>12</v>
      </c>
      <c r="O3" s="265">
        <f t="shared" ref="O3:O8" si="0">L3/$N$3</f>
        <v>0.27358606505165017</v>
      </c>
    </row>
    <row r="4" spans="1:15" s="17" customFormat="1" x14ac:dyDescent="0.3">
      <c r="A4" s="47"/>
      <c r="B4" s="47" t="s">
        <v>279</v>
      </c>
      <c r="C4" s="270">
        <v>6567792</v>
      </c>
      <c r="D4" s="270">
        <v>697914</v>
      </c>
      <c r="E4" s="47" t="s">
        <v>277</v>
      </c>
      <c r="F4" s="47">
        <v>1</v>
      </c>
      <c r="G4" s="47">
        <v>14</v>
      </c>
      <c r="I4" s="116" t="s">
        <v>26</v>
      </c>
      <c r="J4" s="258">
        <f>(C25*C21+C27*C28*C22^1.5*C23)/1000</f>
        <v>7.4518048383843231E-3</v>
      </c>
      <c r="K4" s="265">
        <f>J4*$B$11</f>
        <v>745.18048383843234</v>
      </c>
      <c r="L4" s="265">
        <f t="shared" ref="L4:L8" si="1">J4*1000000/(M4*3600)</f>
        <v>1.7249548237000749</v>
      </c>
      <c r="M4" s="194">
        <v>1.2</v>
      </c>
      <c r="N4" s="368"/>
      <c r="O4" s="265">
        <f t="shared" si="0"/>
        <v>0.14374623530833958</v>
      </c>
    </row>
    <row r="5" spans="1:15" x14ac:dyDescent="0.3">
      <c r="A5" t="s">
        <v>348</v>
      </c>
      <c r="B5" s="2">
        <v>2</v>
      </c>
      <c r="I5" s="116" t="s">
        <v>28</v>
      </c>
      <c r="J5" s="258">
        <f>(C26*C21+C27*C29*C22^1.5*C23)/1000</f>
        <v>7.440681048368326E-3</v>
      </c>
      <c r="K5" s="265">
        <f t="shared" ref="K5:K8" si="2">J5*$B$11</f>
        <v>744.06810483683262</v>
      </c>
      <c r="L5" s="265">
        <f t="shared" si="1"/>
        <v>1.7223798723074828</v>
      </c>
      <c r="M5" s="194">
        <v>1.2</v>
      </c>
      <c r="N5" s="368"/>
      <c r="O5" s="265">
        <f t="shared" si="0"/>
        <v>0.14353165602562357</v>
      </c>
    </row>
    <row r="6" spans="1:15" x14ac:dyDescent="0.3">
      <c r="A6" s="363" t="s">
        <v>118</v>
      </c>
      <c r="B6" s="365" t="s">
        <v>340</v>
      </c>
      <c r="C6" s="366"/>
      <c r="D6" s="22" t="s">
        <v>322</v>
      </c>
      <c r="E6" s="22" t="s">
        <v>319</v>
      </c>
      <c r="F6" s="52" t="s">
        <v>319</v>
      </c>
      <c r="I6" s="266" t="s">
        <v>307</v>
      </c>
      <c r="J6" s="258">
        <f>C31*F8/1000</f>
        <v>2.0848799999999999E-3</v>
      </c>
      <c r="K6" s="254">
        <f>J6*$B$11</f>
        <v>208.488</v>
      </c>
      <c r="L6" s="265">
        <f t="shared" si="1"/>
        <v>0.48261111111111116</v>
      </c>
      <c r="M6" s="194">
        <v>1.2</v>
      </c>
      <c r="N6" s="368"/>
      <c r="O6" s="265">
        <f t="shared" si="0"/>
        <v>4.0217592592592596E-2</v>
      </c>
    </row>
    <row r="7" spans="1:15" x14ac:dyDescent="0.3">
      <c r="A7" s="364"/>
      <c r="B7" s="22" t="s">
        <v>86</v>
      </c>
      <c r="C7" s="52" t="s">
        <v>90</v>
      </c>
      <c r="D7" s="22" t="s">
        <v>320</v>
      </c>
      <c r="E7" s="22" t="s">
        <v>61</v>
      </c>
      <c r="F7" s="22" t="s">
        <v>321</v>
      </c>
      <c r="I7" s="266" t="s">
        <v>308</v>
      </c>
      <c r="J7" s="258">
        <f>C32*F8/1000</f>
        <v>4.9056000000000002E-4</v>
      </c>
      <c r="K7" s="254">
        <f>J7*$B$11</f>
        <v>49.056000000000004</v>
      </c>
      <c r="L7" s="265">
        <f t="shared" si="1"/>
        <v>0.11355555555555556</v>
      </c>
      <c r="M7" s="194">
        <v>1.2</v>
      </c>
      <c r="N7" s="368"/>
      <c r="O7" s="265">
        <f t="shared" si="0"/>
        <v>9.462962962962963E-3</v>
      </c>
    </row>
    <row r="8" spans="1:15" x14ac:dyDescent="0.3">
      <c r="A8" s="1" t="s">
        <v>121</v>
      </c>
      <c r="B8" s="226">
        <v>1400000</v>
      </c>
      <c r="C8" s="226">
        <f>B8/B5</f>
        <v>700000</v>
      </c>
      <c r="D8" s="224">
        <v>8.7600000000000004E-4</v>
      </c>
      <c r="E8" s="225">
        <f t="shared" ref="E8:E9" si="3">C8*D8</f>
        <v>613.20000000000005</v>
      </c>
      <c r="F8" s="19">
        <v>6.132E-2</v>
      </c>
      <c r="I8" s="266" t="s">
        <v>309</v>
      </c>
      <c r="J8" s="258">
        <f>C33*F8/1000</f>
        <v>6.1320000000000002E-5</v>
      </c>
      <c r="K8" s="254">
        <f t="shared" si="2"/>
        <v>6.1320000000000006</v>
      </c>
      <c r="L8" s="265">
        <f t="shared" si="1"/>
        <v>1.4194444444444445E-2</v>
      </c>
      <c r="M8" s="194">
        <v>1.2</v>
      </c>
      <c r="N8" s="369"/>
      <c r="O8" s="265">
        <f t="shared" si="0"/>
        <v>1.1828703703703704E-3</v>
      </c>
    </row>
    <row r="9" spans="1:15" x14ac:dyDescent="0.3">
      <c r="A9" t="s">
        <v>122</v>
      </c>
      <c r="B9" s="226">
        <v>12600000</v>
      </c>
      <c r="C9" s="226">
        <f>B9/B5</f>
        <v>6300000</v>
      </c>
      <c r="D9" s="224">
        <v>8.7600000000000004E-4</v>
      </c>
      <c r="E9" s="225">
        <f t="shared" si="3"/>
        <v>5518.8</v>
      </c>
    </row>
    <row r="10" spans="1:15" x14ac:dyDescent="0.3">
      <c r="A10" s="1" t="s">
        <v>343</v>
      </c>
      <c r="B10" s="227">
        <f>SUM(B8:B9)</f>
        <v>14000000</v>
      </c>
      <c r="C10" s="226">
        <f>B10/B5</f>
        <v>7000000</v>
      </c>
      <c r="D10" s="254">
        <v>8.7600000000000004E-4</v>
      </c>
      <c r="E10" s="225">
        <f>C10*D10</f>
        <v>6132</v>
      </c>
    </row>
    <row r="11" spans="1:15" x14ac:dyDescent="0.3">
      <c r="A11" s="1" t="s">
        <v>341</v>
      </c>
      <c r="B11" s="223">
        <v>100000</v>
      </c>
      <c r="C11" s="175"/>
      <c r="D11" s="175"/>
      <c r="E11" s="175"/>
      <c r="I11" s="175"/>
    </row>
    <row r="12" spans="1:15" x14ac:dyDescent="0.3">
      <c r="B12" s="226"/>
      <c r="C12" s="175"/>
      <c r="D12" s="175"/>
      <c r="E12" s="175"/>
    </row>
    <row r="13" spans="1:15" ht="28.8" x14ac:dyDescent="0.3">
      <c r="A13" s="23" t="s">
        <v>310</v>
      </c>
      <c r="B13" s="22" t="s">
        <v>318</v>
      </c>
      <c r="C13" s="23" t="s">
        <v>311</v>
      </c>
      <c r="D13" s="23" t="s">
        <v>312</v>
      </c>
      <c r="E13" s="199"/>
      <c r="F13" s="199"/>
      <c r="G13" s="199"/>
      <c r="I13" s="47" t="s">
        <v>10</v>
      </c>
      <c r="J13" s="47" t="s">
        <v>360</v>
      </c>
      <c r="K13" s="47" t="s">
        <v>361</v>
      </c>
      <c r="L13" s="274" t="s">
        <v>359</v>
      </c>
      <c r="M13" s="47" t="s">
        <v>357</v>
      </c>
    </row>
    <row r="14" spans="1:15" x14ac:dyDescent="0.3">
      <c r="A14" s="22" t="s">
        <v>69</v>
      </c>
      <c r="B14" s="23" t="s">
        <v>69</v>
      </c>
      <c r="C14" s="22" t="s">
        <v>313</v>
      </c>
      <c r="D14" s="22" t="s">
        <v>119</v>
      </c>
      <c r="E14" s="17"/>
      <c r="F14" s="199"/>
      <c r="G14" s="199"/>
      <c r="I14" s="266" t="s">
        <v>307</v>
      </c>
      <c r="J14" s="71" t="s">
        <v>356</v>
      </c>
      <c r="K14" s="1">
        <v>10000</v>
      </c>
      <c r="L14" s="1">
        <v>392.55900000000003</v>
      </c>
      <c r="M14" s="273">
        <f>L14/K14</f>
        <v>3.9255900000000003E-2</v>
      </c>
    </row>
    <row r="15" spans="1:15" x14ac:dyDescent="0.3">
      <c r="A15" s="47">
        <v>5.5</v>
      </c>
      <c r="B15" s="47">
        <v>4</v>
      </c>
      <c r="C15" s="198">
        <f>A15*B15</f>
        <v>22</v>
      </c>
      <c r="D15" s="47">
        <v>1000</v>
      </c>
      <c r="E15" s="17"/>
      <c r="F15" s="17"/>
      <c r="G15" s="17"/>
      <c r="I15" s="116" t="s">
        <v>28</v>
      </c>
      <c r="J15" s="271" t="s">
        <v>355</v>
      </c>
      <c r="K15" s="1">
        <v>25</v>
      </c>
      <c r="L15" s="1">
        <v>1.1160000000000001</v>
      </c>
      <c r="M15" s="273">
        <f>L15/K15</f>
        <v>4.4640000000000006E-2</v>
      </c>
    </row>
    <row r="16" spans="1:15" x14ac:dyDescent="0.3">
      <c r="A16" t="s">
        <v>285</v>
      </c>
      <c r="I16" s="116" t="s">
        <v>26</v>
      </c>
      <c r="J16" s="71" t="s">
        <v>354</v>
      </c>
      <c r="K16" s="1">
        <v>50</v>
      </c>
      <c r="L16" s="1">
        <v>25.95</v>
      </c>
      <c r="M16" s="273">
        <f t="shared" ref="M16:M21" si="4">L16/K16</f>
        <v>0.51900000000000002</v>
      </c>
    </row>
    <row r="17" spans="1:13" x14ac:dyDescent="0.3">
      <c r="A17" t="s">
        <v>286</v>
      </c>
      <c r="J17" s="71" t="s">
        <v>355</v>
      </c>
      <c r="K17" s="1">
        <v>40</v>
      </c>
      <c r="L17" s="1">
        <v>11.121</v>
      </c>
      <c r="M17" s="273">
        <f t="shared" si="4"/>
        <v>0.27802500000000002</v>
      </c>
    </row>
    <row r="18" spans="1:13" x14ac:dyDescent="0.3">
      <c r="A18" t="s">
        <v>287</v>
      </c>
      <c r="I18" s="266" t="s">
        <v>308</v>
      </c>
      <c r="J18" s="272" t="s">
        <v>353</v>
      </c>
      <c r="K18" s="1">
        <v>200</v>
      </c>
      <c r="L18" s="275">
        <v>98.697999999999993</v>
      </c>
      <c r="M18" s="273">
        <f t="shared" si="4"/>
        <v>0.49348999999999998</v>
      </c>
    </row>
    <row r="19" spans="1:13" x14ac:dyDescent="0.3">
      <c r="A19" t="s">
        <v>288</v>
      </c>
      <c r="J19" s="71" t="s">
        <v>355</v>
      </c>
      <c r="K19" s="1">
        <v>40</v>
      </c>
      <c r="L19" s="1">
        <v>0.72399999999999998</v>
      </c>
      <c r="M19" s="273">
        <f t="shared" si="4"/>
        <v>1.8099999999999998E-2</v>
      </c>
    </row>
    <row r="20" spans="1:13" x14ac:dyDescent="0.3">
      <c r="A20" s="1"/>
      <c r="B20" s="1"/>
      <c r="C20" s="19" t="s">
        <v>289</v>
      </c>
      <c r="I20" s="266" t="s">
        <v>309</v>
      </c>
      <c r="J20" s="71" t="s">
        <v>353</v>
      </c>
      <c r="K20" s="1">
        <v>350</v>
      </c>
      <c r="L20" s="1">
        <v>182.26400000000001</v>
      </c>
      <c r="M20" s="273">
        <f t="shared" si="4"/>
        <v>0.52075428571428573</v>
      </c>
    </row>
    <row r="21" spans="1:13" x14ac:dyDescent="0.3">
      <c r="A21" s="1" t="s">
        <v>290</v>
      </c>
      <c r="B21" s="1" t="s">
        <v>291</v>
      </c>
      <c r="C21" s="1">
        <v>24</v>
      </c>
      <c r="J21" s="272" t="s">
        <v>354</v>
      </c>
      <c r="K21" s="1">
        <v>125</v>
      </c>
      <c r="L21" s="1">
        <v>22.091999999999999</v>
      </c>
      <c r="M21" s="273">
        <f t="shared" si="4"/>
        <v>0.17673599999999998</v>
      </c>
    </row>
    <row r="22" spans="1:13" x14ac:dyDescent="0.3">
      <c r="A22" s="1" t="s">
        <v>292</v>
      </c>
      <c r="B22" s="1" t="s">
        <v>293</v>
      </c>
      <c r="C22" s="1">
        <v>22</v>
      </c>
    </row>
    <row r="23" spans="1:13" x14ac:dyDescent="0.3">
      <c r="A23" s="1" t="s">
        <v>294</v>
      </c>
      <c r="B23" s="1" t="s">
        <v>295</v>
      </c>
      <c r="C23" s="1">
        <v>1</v>
      </c>
    </row>
    <row r="24" spans="1:13" x14ac:dyDescent="0.3">
      <c r="A24" s="1" t="s">
        <v>296</v>
      </c>
      <c r="B24" s="1" t="s">
        <v>297</v>
      </c>
      <c r="C24" s="1">
        <v>0.59</v>
      </c>
    </row>
    <row r="25" spans="1:13" x14ac:dyDescent="0.3">
      <c r="A25" s="1" t="s">
        <v>298</v>
      </c>
      <c r="B25" s="1" t="s">
        <v>297</v>
      </c>
      <c r="C25" s="1">
        <v>0.31</v>
      </c>
    </row>
    <row r="26" spans="1:13" x14ac:dyDescent="0.3">
      <c r="A26" s="1" t="s">
        <v>299</v>
      </c>
      <c r="B26" s="1" t="s">
        <v>297</v>
      </c>
      <c r="C26" s="1">
        <v>0.31</v>
      </c>
      <c r="L26" s="2"/>
    </row>
    <row r="27" spans="1:13" x14ac:dyDescent="0.3">
      <c r="A27" s="1" t="s">
        <v>300</v>
      </c>
      <c r="B27" s="1" t="s">
        <v>301</v>
      </c>
      <c r="C27" s="1">
        <v>2.2000000000000001E-4</v>
      </c>
      <c r="L27" s="2"/>
    </row>
    <row r="28" spans="1:13" x14ac:dyDescent="0.3">
      <c r="A28" s="1" t="s">
        <v>302</v>
      </c>
      <c r="B28" s="1" t="s">
        <v>303</v>
      </c>
      <c r="C28" s="1">
        <v>0.52</v>
      </c>
    </row>
    <row r="29" spans="1:13" x14ac:dyDescent="0.3">
      <c r="A29" s="1" t="s">
        <v>304</v>
      </c>
      <c r="B29" s="1" t="s">
        <v>303</v>
      </c>
      <c r="C29" s="1">
        <v>0.03</v>
      </c>
      <c r="I29" s="197"/>
    </row>
    <row r="30" spans="1:13" x14ac:dyDescent="0.3">
      <c r="A30" s="183" t="s">
        <v>305</v>
      </c>
      <c r="B30" s="184" t="s">
        <v>306</v>
      </c>
      <c r="C30" s="160"/>
      <c r="D30" s="160"/>
    </row>
    <row r="31" spans="1:13" x14ac:dyDescent="0.3">
      <c r="A31">
        <v>8.4</v>
      </c>
      <c r="B31" s="162" t="s">
        <v>307</v>
      </c>
      <c r="C31" s="185">
        <v>34</v>
      </c>
      <c r="D31" s="162" t="s">
        <v>266</v>
      </c>
    </row>
    <row r="32" spans="1:13" x14ac:dyDescent="0.3">
      <c r="B32" s="162" t="s">
        <v>308</v>
      </c>
      <c r="C32" s="185">
        <v>8</v>
      </c>
      <c r="D32" s="162" t="s">
        <v>266</v>
      </c>
    </row>
    <row r="33" spans="1:4" x14ac:dyDescent="0.3">
      <c r="B33" s="162" t="s">
        <v>309</v>
      </c>
      <c r="C33" s="185">
        <v>1</v>
      </c>
      <c r="D33" s="162" t="s">
        <v>266</v>
      </c>
    </row>
    <row r="35" spans="1:4" x14ac:dyDescent="0.3">
      <c r="A35" s="220"/>
      <c r="B35" s="255"/>
      <c r="C35" s="256"/>
    </row>
    <row r="36" spans="1:4" x14ac:dyDescent="0.3">
      <c r="A36" s="220"/>
      <c r="B36" s="256"/>
      <c r="C36" s="256"/>
    </row>
    <row r="37" spans="1:4" x14ac:dyDescent="0.3">
      <c r="A37" s="220"/>
      <c r="B37" s="256"/>
      <c r="C37" s="256"/>
    </row>
    <row r="38" spans="1:4" x14ac:dyDescent="0.3">
      <c r="A38" s="220"/>
      <c r="B38" s="256"/>
      <c r="C38" s="220"/>
    </row>
    <row r="39" spans="1:4" x14ac:dyDescent="0.3">
      <c r="A39" s="220"/>
      <c r="B39" s="220"/>
      <c r="C39" s="220"/>
    </row>
    <row r="40" spans="1:4" x14ac:dyDescent="0.3">
      <c r="A40" s="220"/>
      <c r="B40" s="220"/>
      <c r="C40" s="220"/>
      <c r="D40" s="17"/>
    </row>
    <row r="41" spans="1:4" x14ac:dyDescent="0.3">
      <c r="A41" s="220"/>
      <c r="B41" s="257"/>
      <c r="C41" s="256"/>
      <c r="D41" s="17"/>
    </row>
    <row r="42" spans="1:4" x14ac:dyDescent="0.3">
      <c r="A42" s="220"/>
      <c r="B42" s="257"/>
      <c r="C42" s="220"/>
      <c r="D42" s="17"/>
    </row>
    <row r="43" spans="1:4" x14ac:dyDescent="0.3">
      <c r="A43" s="220"/>
      <c r="B43" s="255"/>
      <c r="C43" s="256"/>
      <c r="D43" s="17"/>
    </row>
    <row r="44" spans="1:4" x14ac:dyDescent="0.3">
      <c r="A44" s="220"/>
      <c r="B44" s="220"/>
      <c r="C44" s="220"/>
    </row>
    <row r="45" spans="1:4" x14ac:dyDescent="0.3">
      <c r="A45" s="220"/>
      <c r="B45" s="220"/>
      <c r="C45" s="220"/>
    </row>
    <row r="46" spans="1:4" x14ac:dyDescent="0.3">
      <c r="A46" s="220"/>
      <c r="B46" s="220"/>
      <c r="C46" s="220"/>
    </row>
    <row r="47" spans="1:4" ht="15.6" x14ac:dyDescent="0.3">
      <c r="A47" s="221"/>
      <c r="B47" s="221"/>
      <c r="C47" s="221"/>
    </row>
    <row r="48" spans="1:4" ht="15.6" x14ac:dyDescent="0.3">
      <c r="A48" s="222"/>
      <c r="B48" s="222"/>
      <c r="C48" s="220"/>
    </row>
    <row r="49" spans="1:3" x14ac:dyDescent="0.3">
      <c r="A49" s="220"/>
      <c r="B49" s="220"/>
      <c r="C49" s="220"/>
    </row>
    <row r="50" spans="1:3" x14ac:dyDescent="0.3">
      <c r="A50" s="220"/>
      <c r="B50" s="220"/>
      <c r="C50" s="220"/>
    </row>
    <row r="51" spans="1:3" x14ac:dyDescent="0.3">
      <c r="A51" s="220"/>
      <c r="B51" s="220"/>
      <c r="C51" s="220"/>
    </row>
    <row r="52" spans="1:3" ht="15.6" x14ac:dyDescent="0.3">
      <c r="A52" s="221"/>
      <c r="B52" s="221"/>
      <c r="C52" s="221"/>
    </row>
    <row r="53" spans="1:3" ht="15" x14ac:dyDescent="0.3">
      <c r="A53" s="200"/>
      <c r="B53" s="201"/>
      <c r="C53" s="200"/>
    </row>
  </sheetData>
  <mergeCells count="4">
    <mergeCell ref="C2:D2"/>
    <mergeCell ref="A6:A7"/>
    <mergeCell ref="B6:C6"/>
    <mergeCell ref="N3:N8"/>
  </mergeCells>
  <hyperlinks>
    <hyperlink ref="B30" r:id="rId1" xr:uid="{00000000-0004-0000-0100-000000000000}"/>
  </hyperlinks>
  <pageMargins left="0.7" right="0.7" top="0.75" bottom="0.75" header="0.3" footer="0.3"/>
  <pageSetup paperSize="9" orientation="portrait"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56"/>
  <sheetViews>
    <sheetView topLeftCell="A19" workbookViewId="0">
      <selection activeCell="D67" sqref="D67"/>
    </sheetView>
  </sheetViews>
  <sheetFormatPr defaultRowHeight="14.4" x14ac:dyDescent="0.3"/>
  <cols>
    <col min="1" max="1" width="16.109375" customWidth="1"/>
    <col min="2" max="2" width="44.6640625" customWidth="1"/>
    <col min="3" max="3" width="12.88671875" customWidth="1"/>
    <col min="4" max="4" width="14.33203125" bestFit="1" customWidth="1"/>
    <col min="5" max="5" width="14.33203125" customWidth="1"/>
    <col min="6" max="6" width="15.5546875" customWidth="1"/>
    <col min="7" max="13" width="11.88671875" customWidth="1"/>
    <col min="14" max="14" width="13.88671875" customWidth="1"/>
    <col min="15" max="15" width="11.88671875" customWidth="1"/>
    <col min="16" max="16" width="13.6640625" bestFit="1" customWidth="1"/>
  </cols>
  <sheetData>
    <row r="1" spans="1:19" ht="43.2" x14ac:dyDescent="0.3">
      <c r="B1" s="22"/>
      <c r="C1" s="22" t="s">
        <v>96</v>
      </c>
      <c r="D1" s="22" t="s">
        <v>65</v>
      </c>
      <c r="E1" s="23" t="s">
        <v>97</v>
      </c>
      <c r="F1" s="23" t="s">
        <v>98</v>
      </c>
      <c r="G1" s="23" t="s">
        <v>240</v>
      </c>
      <c r="H1" s="23" t="s">
        <v>99</v>
      </c>
      <c r="I1" s="23" t="s">
        <v>239</v>
      </c>
      <c r="J1" s="23" t="s">
        <v>100</v>
      </c>
      <c r="K1" s="23" t="s">
        <v>101</v>
      </c>
      <c r="L1" s="22" t="s">
        <v>102</v>
      </c>
      <c r="M1" s="22" t="s">
        <v>103</v>
      </c>
      <c r="N1" s="362" t="s">
        <v>104</v>
      </c>
      <c r="O1" s="362"/>
    </row>
    <row r="2" spans="1:19" ht="15" thickBot="1" x14ac:dyDescent="0.35">
      <c r="B2" s="48"/>
      <c r="C2" s="48"/>
      <c r="D2" s="48"/>
      <c r="E2" s="48" t="s">
        <v>90</v>
      </c>
      <c r="F2" s="48" t="s">
        <v>123</v>
      </c>
      <c r="G2" s="48" t="s">
        <v>119</v>
      </c>
      <c r="H2" s="48" t="s">
        <v>123</v>
      </c>
      <c r="I2" s="48" t="s">
        <v>119</v>
      </c>
      <c r="J2" s="48" t="s">
        <v>69</v>
      </c>
      <c r="K2" s="48" t="s">
        <v>69</v>
      </c>
      <c r="L2" s="49" t="s">
        <v>105</v>
      </c>
      <c r="M2" s="48" t="s">
        <v>106</v>
      </c>
      <c r="N2" s="48" t="s">
        <v>107</v>
      </c>
      <c r="O2" s="48" t="s">
        <v>108</v>
      </c>
    </row>
    <row r="3" spans="1:19" ht="30.6" customHeight="1" x14ac:dyDescent="0.3">
      <c r="A3" s="372" t="s">
        <v>362</v>
      </c>
      <c r="B3" s="370" t="s">
        <v>367</v>
      </c>
      <c r="C3" s="104" t="s">
        <v>221</v>
      </c>
      <c r="D3" s="102" t="s">
        <v>109</v>
      </c>
      <c r="E3" s="102" t="s">
        <v>226</v>
      </c>
      <c r="F3" s="102">
        <v>400</v>
      </c>
      <c r="G3" s="155">
        <f>(C12/F3)/60</f>
        <v>166.66666666666666</v>
      </c>
      <c r="H3" s="102">
        <v>80</v>
      </c>
      <c r="I3" s="156">
        <f>(C12/H3)/60</f>
        <v>833.33333333333337</v>
      </c>
      <c r="J3" s="102">
        <v>5</v>
      </c>
      <c r="K3" s="102">
        <v>0.04</v>
      </c>
      <c r="L3" s="102">
        <v>20</v>
      </c>
      <c r="M3" s="102">
        <v>7.96</v>
      </c>
      <c r="N3" s="102">
        <v>6567483</v>
      </c>
      <c r="O3" s="105">
        <v>693512</v>
      </c>
    </row>
    <row r="4" spans="1:19" ht="43.2" customHeight="1" thickBot="1" x14ac:dyDescent="0.35">
      <c r="A4" s="373"/>
      <c r="B4" s="371"/>
      <c r="C4" s="123" t="s">
        <v>227</v>
      </c>
      <c r="D4" s="103" t="s">
        <v>110</v>
      </c>
      <c r="E4" s="103">
        <v>10</v>
      </c>
      <c r="F4" s="103">
        <v>400</v>
      </c>
      <c r="G4" s="154">
        <f>(C13/F4)/60</f>
        <v>2.0833333333333335</v>
      </c>
      <c r="H4" s="103">
        <v>50</v>
      </c>
      <c r="I4" s="157">
        <f>(C13/H4)/60</f>
        <v>16.666666666666668</v>
      </c>
      <c r="J4" s="103">
        <v>5</v>
      </c>
      <c r="K4" s="103">
        <v>0.04</v>
      </c>
      <c r="L4" s="103">
        <v>20</v>
      </c>
      <c r="M4" s="103">
        <v>7.96</v>
      </c>
      <c r="N4" s="103">
        <v>6567479</v>
      </c>
      <c r="O4" s="124">
        <v>693506</v>
      </c>
    </row>
    <row r="5" spans="1:19" ht="14.4" customHeight="1" thickBot="1" x14ac:dyDescent="0.35">
      <c r="A5" s="17"/>
      <c r="B5" s="17"/>
      <c r="C5" s="50"/>
      <c r="D5" s="17"/>
      <c r="E5" s="17"/>
      <c r="F5" s="17"/>
      <c r="G5" s="152"/>
      <c r="H5" s="17"/>
      <c r="I5" s="17"/>
      <c r="J5" s="51"/>
      <c r="K5" s="51"/>
      <c r="L5" s="51"/>
      <c r="M5" s="51"/>
      <c r="N5" s="51"/>
      <c r="O5" s="51"/>
    </row>
    <row r="6" spans="1:19" ht="15" thickBot="1" x14ac:dyDescent="0.35">
      <c r="A6" s="189" t="s">
        <v>363</v>
      </c>
      <c r="B6" s="276" t="s">
        <v>365</v>
      </c>
      <c r="C6" s="99" t="s">
        <v>224</v>
      </c>
      <c r="D6" s="100" t="s">
        <v>109</v>
      </c>
      <c r="E6" s="100">
        <v>50</v>
      </c>
      <c r="F6" s="100">
        <v>400</v>
      </c>
      <c r="G6" s="150">
        <f>(C14/F6)/60</f>
        <v>125</v>
      </c>
      <c r="H6" s="100">
        <v>80</v>
      </c>
      <c r="I6" s="151">
        <f>(C14/H6)/60</f>
        <v>625</v>
      </c>
      <c r="J6" s="100">
        <v>4.8</v>
      </c>
      <c r="K6" s="100">
        <v>0.04</v>
      </c>
      <c r="L6" s="100">
        <v>20</v>
      </c>
      <c r="M6" s="100">
        <v>7.96</v>
      </c>
      <c r="N6" s="100">
        <v>6567421</v>
      </c>
      <c r="O6" s="101">
        <v>693596</v>
      </c>
    </row>
    <row r="7" spans="1:19" s="2" customFormat="1" ht="15" thickBot="1" x14ac:dyDescent="0.35">
      <c r="A7" s="17"/>
      <c r="B7" s="17"/>
      <c r="C7" s="50"/>
      <c r="D7" s="17"/>
      <c r="E7" s="17"/>
      <c r="F7" s="17"/>
      <c r="G7" s="153"/>
      <c r="H7" s="17"/>
      <c r="I7" s="17"/>
      <c r="J7" s="17"/>
      <c r="K7" s="17"/>
      <c r="L7" s="17"/>
      <c r="M7" s="17"/>
      <c r="N7" s="51"/>
      <c r="O7" s="51"/>
      <c r="S7" s="158"/>
    </row>
    <row r="8" spans="1:19" ht="15" thickBot="1" x14ac:dyDescent="0.35">
      <c r="A8" s="189" t="s">
        <v>364</v>
      </c>
      <c r="B8" s="276" t="s">
        <v>366</v>
      </c>
      <c r="C8" s="99" t="s">
        <v>225</v>
      </c>
      <c r="D8" s="100" t="s">
        <v>109</v>
      </c>
      <c r="E8" s="100">
        <v>10</v>
      </c>
      <c r="F8" s="100">
        <v>400</v>
      </c>
      <c r="G8" s="150">
        <f>(C15/F8)/60</f>
        <v>197.91666666666666</v>
      </c>
      <c r="H8" s="100">
        <v>130</v>
      </c>
      <c r="I8" s="151">
        <f>(C15/H8)/60</f>
        <v>608.97435897435901</v>
      </c>
      <c r="J8" s="100">
        <v>2</v>
      </c>
      <c r="K8" s="100">
        <v>0.04</v>
      </c>
      <c r="L8" s="100">
        <v>20</v>
      </c>
      <c r="M8" s="100">
        <v>7.96</v>
      </c>
      <c r="N8" s="100">
        <v>6567562</v>
      </c>
      <c r="O8" s="101">
        <v>693510</v>
      </c>
    </row>
    <row r="9" spans="1:19" x14ac:dyDescent="0.3">
      <c r="A9" s="17"/>
    </row>
    <row r="10" spans="1:19" x14ac:dyDescent="0.3">
      <c r="A10" s="17"/>
      <c r="C10" s="107">
        <f>C12+C14+C15</f>
        <v>11750000</v>
      </c>
      <c r="F10">
        <f>F12+F14+F15</f>
        <v>11750</v>
      </c>
    </row>
    <row r="11" spans="1:19" ht="15" thickBot="1" x14ac:dyDescent="0.35">
      <c r="A11" s="17"/>
      <c r="B11" s="125"/>
      <c r="C11" s="126" t="s">
        <v>113</v>
      </c>
      <c r="D11" s="126" t="s">
        <v>111</v>
      </c>
      <c r="E11" s="126" t="s">
        <v>112</v>
      </c>
      <c r="F11" s="126" t="s">
        <v>90</v>
      </c>
    </row>
    <row r="12" spans="1:19" x14ac:dyDescent="0.3">
      <c r="A12" s="372" t="s">
        <v>362</v>
      </c>
      <c r="B12" s="127" t="s">
        <v>229</v>
      </c>
      <c r="C12" s="128">
        <v>4000000</v>
      </c>
      <c r="D12" s="129">
        <v>0.8</v>
      </c>
      <c r="E12" s="130">
        <f>C12*D12</f>
        <v>3200000</v>
      </c>
      <c r="F12" s="131">
        <f>C12/1000</f>
        <v>4000</v>
      </c>
    </row>
    <row r="13" spans="1:19" ht="15" thickBot="1" x14ac:dyDescent="0.35">
      <c r="A13" s="373"/>
      <c r="B13" s="132" t="s">
        <v>228</v>
      </c>
      <c r="C13" s="133">
        <v>50000</v>
      </c>
      <c r="D13" s="134">
        <v>0.7</v>
      </c>
      <c r="E13" s="135">
        <f>C13*D13</f>
        <v>35000</v>
      </c>
      <c r="F13" s="136">
        <f t="shared" ref="F13:F15" si="0">C13/1000</f>
        <v>50</v>
      </c>
    </row>
    <row r="14" spans="1:19" ht="15" thickBot="1" x14ac:dyDescent="0.35">
      <c r="A14" s="189" t="s">
        <v>363</v>
      </c>
      <c r="B14" s="137" t="s">
        <v>230</v>
      </c>
      <c r="C14" s="138">
        <v>3000000</v>
      </c>
      <c r="D14" s="139">
        <v>0.8</v>
      </c>
      <c r="E14" s="140">
        <f>C14*D14</f>
        <v>2400000</v>
      </c>
      <c r="F14" s="141">
        <f t="shared" si="0"/>
        <v>3000</v>
      </c>
    </row>
    <row r="15" spans="1:19" ht="15" thickBot="1" x14ac:dyDescent="0.35">
      <c r="A15" s="189" t="s">
        <v>364</v>
      </c>
      <c r="B15" s="142" t="s">
        <v>231</v>
      </c>
      <c r="C15" s="138">
        <v>4750000</v>
      </c>
      <c r="D15" s="139">
        <v>0.8</v>
      </c>
      <c r="E15" s="140">
        <f>C15*D15</f>
        <v>3800000</v>
      </c>
      <c r="F15" s="141">
        <f t="shared" si="0"/>
        <v>4750</v>
      </c>
      <c r="J15" s="107"/>
    </row>
    <row r="16" spans="1:19" x14ac:dyDescent="0.3">
      <c r="N16" s="149"/>
    </row>
    <row r="17" spans="2:16" x14ac:dyDescent="0.3">
      <c r="B17" s="92" t="s">
        <v>184</v>
      </c>
    </row>
    <row r="18" spans="2:16" x14ac:dyDescent="0.3">
      <c r="B18" s="93" t="s">
        <v>185</v>
      </c>
    </row>
    <row r="19" spans="2:16" ht="43.2" x14ac:dyDescent="0.4">
      <c r="B19" s="94" t="s">
        <v>186</v>
      </c>
      <c r="C19" s="23" t="s">
        <v>241</v>
      </c>
      <c r="D19" s="23" t="s">
        <v>232</v>
      </c>
      <c r="E19" s="23" t="s">
        <v>200</v>
      </c>
      <c r="F19" s="23" t="s">
        <v>233</v>
      </c>
    </row>
    <row r="20" spans="2:16" ht="15.6" x14ac:dyDescent="0.3">
      <c r="B20" s="94"/>
      <c r="C20" s="191" t="str">
        <f>C3</f>
        <v>V9</v>
      </c>
      <c r="D20" s="191" t="str">
        <f>C4</f>
        <v>V9.1</v>
      </c>
      <c r="E20" s="191" t="str">
        <f>C6</f>
        <v>V10</v>
      </c>
      <c r="F20" s="191" t="str">
        <f>C8</f>
        <v>V11</v>
      </c>
    </row>
    <row r="21" spans="2:16" x14ac:dyDescent="0.3">
      <c r="B21" s="95" t="s">
        <v>187</v>
      </c>
      <c r="C21" s="47">
        <v>1E-3</v>
      </c>
      <c r="D21" s="47">
        <f>C21</f>
        <v>1E-3</v>
      </c>
      <c r="E21" s="47">
        <f>C21</f>
        <v>1E-3</v>
      </c>
      <c r="F21" s="47">
        <f>C21</f>
        <v>1E-3</v>
      </c>
    </row>
    <row r="22" spans="2:16" ht="16.2" x14ac:dyDescent="0.3">
      <c r="B22" s="95" t="s">
        <v>159</v>
      </c>
      <c r="C22" s="47">
        <f>F12</f>
        <v>4000</v>
      </c>
      <c r="D22" s="47">
        <f>F13</f>
        <v>50</v>
      </c>
      <c r="E22" s="47">
        <f>F14</f>
        <v>3000</v>
      </c>
      <c r="F22" s="47">
        <f>F15</f>
        <v>4750</v>
      </c>
      <c r="P22" s="91"/>
    </row>
    <row r="23" spans="2:16" x14ac:dyDescent="0.3">
      <c r="B23" s="95" t="s">
        <v>188</v>
      </c>
      <c r="C23" s="47">
        <v>6.65</v>
      </c>
      <c r="D23" s="47">
        <v>880</v>
      </c>
      <c r="E23" s="47">
        <v>6.65</v>
      </c>
      <c r="F23" s="47">
        <v>6.65</v>
      </c>
    </row>
    <row r="24" spans="2:16" x14ac:dyDescent="0.3">
      <c r="B24" s="95" t="s">
        <v>189</v>
      </c>
      <c r="C24" s="47">
        <v>0</v>
      </c>
      <c r="D24" s="47">
        <v>0</v>
      </c>
      <c r="E24" s="47">
        <v>0</v>
      </c>
      <c r="F24" s="96">
        <v>0</v>
      </c>
      <c r="G24" s="145"/>
    </row>
    <row r="25" spans="2:16" x14ac:dyDescent="0.3">
      <c r="B25" s="147" t="s">
        <v>190</v>
      </c>
      <c r="C25" s="143">
        <f>C21*(C23+C24)*C22</f>
        <v>26.6</v>
      </c>
      <c r="D25" s="143">
        <f>D21*(D23+D24)*D22</f>
        <v>44</v>
      </c>
      <c r="E25" s="143">
        <f>E21*(E23+E24)*E22</f>
        <v>19.950000000000003</v>
      </c>
      <c r="F25" s="148">
        <f>F21*(F23+F24)*F22</f>
        <v>31.587500000000002</v>
      </c>
      <c r="G25" s="146"/>
    </row>
    <row r="26" spans="2:16" x14ac:dyDescent="0.3">
      <c r="B26" s="147" t="s">
        <v>234</v>
      </c>
      <c r="C26" s="143">
        <f>C25*O47</f>
        <v>0.79800000000000004</v>
      </c>
      <c r="D26" s="143">
        <f>D25*O47</f>
        <v>1.3199999999999998</v>
      </c>
      <c r="E26" s="143">
        <f>E25*O47</f>
        <v>0.59850000000000003</v>
      </c>
      <c r="F26" s="148">
        <f>F25*O47</f>
        <v>0.94762500000000005</v>
      </c>
      <c r="G26" s="146"/>
    </row>
    <row r="27" spans="2:16" x14ac:dyDescent="0.3">
      <c r="B27" s="147" t="s">
        <v>235</v>
      </c>
      <c r="C27" s="215">
        <f>C25/1000</f>
        <v>2.6600000000000002E-2</v>
      </c>
      <c r="D27" s="215">
        <f t="shared" ref="D27:F27" si="1">D25/1000</f>
        <v>4.3999999999999997E-2</v>
      </c>
      <c r="E27" s="215">
        <f t="shared" si="1"/>
        <v>1.9950000000000002E-2</v>
      </c>
      <c r="F27" s="215">
        <f t="shared" si="1"/>
        <v>3.1587500000000004E-2</v>
      </c>
      <c r="G27" s="144"/>
    </row>
    <row r="28" spans="2:16" x14ac:dyDescent="0.3">
      <c r="B28" s="147" t="s">
        <v>236</v>
      </c>
      <c r="C28" s="215">
        <f>C26/1000</f>
        <v>7.9799999999999999E-4</v>
      </c>
      <c r="D28" s="215">
        <f>D26/1000</f>
        <v>1.3199999999999998E-3</v>
      </c>
      <c r="E28" s="215">
        <f>E26/1000</f>
        <v>5.9850000000000007E-4</v>
      </c>
      <c r="F28" s="215">
        <f t="shared" ref="F28" si="2">F26/1000</f>
        <v>9.4762500000000001E-4</v>
      </c>
      <c r="G28" s="144"/>
    </row>
    <row r="29" spans="2:16" x14ac:dyDescent="0.3">
      <c r="B29" s="147" t="s">
        <v>237</v>
      </c>
      <c r="C29" s="215">
        <f>(C25*1000)/(G3*3600)</f>
        <v>4.4333333333333336E-2</v>
      </c>
      <c r="D29" s="215">
        <f>(D25*1000)/(G4*3600)</f>
        <v>5.8666666666666663</v>
      </c>
      <c r="E29" s="215">
        <f>(E25*1000)/(G6*3600)</f>
        <v>4.4333333333333343E-2</v>
      </c>
      <c r="F29" s="215">
        <f>(F25*1000)/(G8*3600)</f>
        <v>4.4333333333333336E-2</v>
      </c>
      <c r="G29" s="17"/>
    </row>
    <row r="30" spans="2:16" x14ac:dyDescent="0.3">
      <c r="B30" s="147" t="s">
        <v>238</v>
      </c>
      <c r="C30" s="215">
        <f>(C26*1000)/(G3*3600)</f>
        <v>1.33E-3</v>
      </c>
      <c r="D30" s="215">
        <f>(D26*1000)/(G6*3600)</f>
        <v>2.9333333333333329E-3</v>
      </c>
      <c r="E30" s="215">
        <f>(E26*1000)/(G8*3600)</f>
        <v>8.4000000000000003E-4</v>
      </c>
      <c r="F30" s="215">
        <f>(F26*1000)/(G8*3600)</f>
        <v>1.33E-3</v>
      </c>
      <c r="G30" s="17"/>
    </row>
    <row r="31" spans="2:16" x14ac:dyDescent="0.3">
      <c r="G31" s="17"/>
    </row>
    <row r="32" spans="2:16" x14ac:dyDescent="0.3">
      <c r="B32" s="92" t="s">
        <v>191</v>
      </c>
      <c r="G32" s="17"/>
    </row>
    <row r="33" spans="2:15" ht="43.2" x14ac:dyDescent="0.4">
      <c r="B33" s="94" t="s">
        <v>192</v>
      </c>
      <c r="C33" s="108" t="str">
        <f>C19</f>
        <v>Diislikütus 50/20m3 mahuti</v>
      </c>
      <c r="D33" s="23" t="str">
        <f>D19</f>
        <v>Bensiin 10m3 mahuti</v>
      </c>
      <c r="E33" s="23" t="str">
        <f>E19</f>
        <v>Diislikütus 50m3 mahuti</v>
      </c>
      <c r="F33" s="23" t="str">
        <f>F19</f>
        <v>Diislikütus 10m3 mahuti</v>
      </c>
      <c r="G33" s="17"/>
    </row>
    <row r="34" spans="2:15" ht="15.6" x14ac:dyDescent="0.3">
      <c r="B34" s="94"/>
      <c r="C34" s="192" t="str">
        <f>C20</f>
        <v>V9</v>
      </c>
      <c r="D34" s="192" t="str">
        <f t="shared" ref="D34:F34" si="3">D20</f>
        <v>V9.1</v>
      </c>
      <c r="E34" s="192" t="str">
        <f t="shared" si="3"/>
        <v>V10</v>
      </c>
      <c r="F34" s="191" t="str">
        <f t="shared" si="3"/>
        <v>V11</v>
      </c>
      <c r="G34" s="17"/>
    </row>
    <row r="35" spans="2:15" x14ac:dyDescent="0.3">
      <c r="B35" s="95" t="s">
        <v>187</v>
      </c>
      <c r="C35" s="96">
        <f>C21</f>
        <v>1E-3</v>
      </c>
      <c r="D35" s="47">
        <f>C35</f>
        <v>1E-3</v>
      </c>
      <c r="E35" s="47">
        <f>C35</f>
        <v>1E-3</v>
      </c>
      <c r="F35" s="47">
        <f>C35</f>
        <v>1E-3</v>
      </c>
      <c r="G35" s="17"/>
    </row>
    <row r="36" spans="2:15" x14ac:dyDescent="0.3">
      <c r="B36" s="95" t="s">
        <v>193</v>
      </c>
      <c r="C36" s="96">
        <f>C22</f>
        <v>4000</v>
      </c>
      <c r="D36" s="47">
        <f>D22</f>
        <v>50</v>
      </c>
      <c r="E36" s="47">
        <f>E22</f>
        <v>3000</v>
      </c>
      <c r="F36" s="47">
        <f>F15</f>
        <v>4750</v>
      </c>
      <c r="G36" s="17"/>
    </row>
    <row r="37" spans="2:15" x14ac:dyDescent="0.3">
      <c r="B37" s="95" t="s">
        <v>194</v>
      </c>
      <c r="C37" s="96">
        <v>0</v>
      </c>
      <c r="D37" s="47">
        <v>0</v>
      </c>
      <c r="E37" s="47">
        <v>0</v>
      </c>
      <c r="F37" s="47">
        <v>0</v>
      </c>
      <c r="G37" s="17"/>
    </row>
    <row r="38" spans="2:15" x14ac:dyDescent="0.3">
      <c r="B38" s="95" t="s">
        <v>195</v>
      </c>
      <c r="C38" s="96">
        <v>0.6</v>
      </c>
      <c r="D38" s="47">
        <v>80</v>
      </c>
      <c r="E38" s="47">
        <v>0.6</v>
      </c>
      <c r="F38" s="96">
        <v>0.6</v>
      </c>
      <c r="G38" s="145"/>
    </row>
    <row r="39" spans="2:15" x14ac:dyDescent="0.3">
      <c r="B39" s="1" t="str">
        <f>B25</f>
        <v xml:space="preserve">Lenduvad orgaanilised ühendid, kg </v>
      </c>
      <c r="C39" s="143">
        <f>C35*(C37+C38)*C36</f>
        <v>2.4</v>
      </c>
      <c r="D39" s="143">
        <f>D35*(D37+D38)*D36</f>
        <v>4</v>
      </c>
      <c r="E39" s="143">
        <f>E35*(E37+E38)*E36</f>
        <v>1.7999999999999998</v>
      </c>
      <c r="F39" s="148">
        <f>F35*(F37+F38)*F36</f>
        <v>2.8499999999999996</v>
      </c>
      <c r="G39" s="146"/>
    </row>
    <row r="40" spans="2:15" x14ac:dyDescent="0.3">
      <c r="B40" s="1" t="str">
        <f>B26</f>
        <v>Aromaatsed süsivesinikud, kg</v>
      </c>
      <c r="C40" s="143">
        <f>$O$47*C39</f>
        <v>7.1999999999999995E-2</v>
      </c>
      <c r="D40" s="143">
        <f>$O$47*D39</f>
        <v>0.12</v>
      </c>
      <c r="E40" s="143">
        <f>$O$47*E39</f>
        <v>5.3999999999999992E-2</v>
      </c>
      <c r="F40" s="148">
        <f>$O$47*F39</f>
        <v>8.5499999999999993E-2</v>
      </c>
      <c r="G40" s="146"/>
    </row>
    <row r="41" spans="2:15" x14ac:dyDescent="0.3">
      <c r="B41" s="1" t="str">
        <f>B27</f>
        <v>Lenduvad orgaanilised ühendid, t/a</v>
      </c>
      <c r="C41" s="215">
        <f>C39/1000</f>
        <v>2.3999999999999998E-3</v>
      </c>
      <c r="D41" s="215">
        <f t="shared" ref="D41:F41" si="4">D39/1000</f>
        <v>4.0000000000000001E-3</v>
      </c>
      <c r="E41" s="215">
        <f t="shared" si="4"/>
        <v>1.7999999999999997E-3</v>
      </c>
      <c r="F41" s="215">
        <f t="shared" si="4"/>
        <v>2.8499999999999997E-3</v>
      </c>
      <c r="G41" s="144"/>
    </row>
    <row r="42" spans="2:15" x14ac:dyDescent="0.3">
      <c r="B42" s="1" t="str">
        <f>B28</f>
        <v>Aromaatsed süsivesinikud, t/a</v>
      </c>
      <c r="C42" s="215">
        <f>C40/1000</f>
        <v>7.1999999999999988E-5</v>
      </c>
      <c r="D42" s="215">
        <f t="shared" ref="D42:F42" si="5">D40/1000</f>
        <v>1.1999999999999999E-4</v>
      </c>
      <c r="E42" s="215">
        <f t="shared" si="5"/>
        <v>5.3999999999999991E-5</v>
      </c>
      <c r="F42" s="215">
        <f t="shared" si="5"/>
        <v>8.5499999999999991E-5</v>
      </c>
      <c r="G42" s="144"/>
    </row>
    <row r="43" spans="2:15" x14ac:dyDescent="0.3">
      <c r="B43" s="147" t="s">
        <v>237</v>
      </c>
      <c r="C43" s="47">
        <f>(C39*1000)/(I3*3600)</f>
        <v>8.0000000000000004E-4</v>
      </c>
      <c r="D43" s="215">
        <f>(D39*1000)/(I4*3600)</f>
        <v>6.6666666666666652E-2</v>
      </c>
      <c r="E43" s="215">
        <f>(E39*1000)/(I6*3600)</f>
        <v>7.9999999999999993E-4</v>
      </c>
      <c r="F43" s="215">
        <f>(F39*1000)/(I8*3600)</f>
        <v>1.2999999999999997E-3</v>
      </c>
    </row>
    <row r="44" spans="2:15" x14ac:dyDescent="0.3">
      <c r="B44" s="147" t="s">
        <v>238</v>
      </c>
      <c r="C44" s="216">
        <f>(C40*1000)/(I3*3600)</f>
        <v>2.4000000000000001E-5</v>
      </c>
      <c r="D44" s="215">
        <f>(D40*1000)/(I4*3600)</f>
        <v>1.9999999999999996E-3</v>
      </c>
      <c r="E44" s="216">
        <f>(E40*1000)/(I6*3600)</f>
        <v>2.3999999999999997E-5</v>
      </c>
      <c r="F44" s="216">
        <f>(F40*1000)/(I8*3600)</f>
        <v>3.8999999999999993E-5</v>
      </c>
    </row>
    <row r="45" spans="2:15" x14ac:dyDescent="0.3">
      <c r="C45" s="17"/>
      <c r="D45" s="17"/>
      <c r="E45" s="17"/>
      <c r="F45" s="17"/>
    </row>
    <row r="46" spans="2:15" x14ac:dyDescent="0.3">
      <c r="B46" s="97" t="s">
        <v>196</v>
      </c>
    </row>
    <row r="47" spans="2:15" x14ac:dyDescent="0.3">
      <c r="B47" s="98" t="s">
        <v>197</v>
      </c>
      <c r="O47" s="55">
        <v>0.03</v>
      </c>
    </row>
    <row r="48" spans="2:15" x14ac:dyDescent="0.3">
      <c r="B48" s="98" t="s">
        <v>198</v>
      </c>
    </row>
    <row r="50" spans="2:6" x14ac:dyDescent="0.3">
      <c r="B50" t="s">
        <v>337</v>
      </c>
    </row>
    <row r="51" spans="2:6" ht="43.2" x14ac:dyDescent="0.3">
      <c r="B51" s="94"/>
      <c r="C51" s="23" t="s">
        <v>241</v>
      </c>
      <c r="D51" s="23" t="s">
        <v>232</v>
      </c>
      <c r="E51" s="23" t="s">
        <v>200</v>
      </c>
      <c r="F51" s="23" t="s">
        <v>233</v>
      </c>
    </row>
    <row r="52" spans="2:6" ht="15.6" x14ac:dyDescent="0.3">
      <c r="B52" s="94"/>
      <c r="C52" s="191" t="s">
        <v>221</v>
      </c>
      <c r="D52" s="191" t="s">
        <v>227</v>
      </c>
      <c r="E52" s="191" t="s">
        <v>224</v>
      </c>
      <c r="F52" s="191" t="s">
        <v>225</v>
      </c>
    </row>
    <row r="53" spans="2:6" x14ac:dyDescent="0.3">
      <c r="B53" s="1" t="str">
        <f>B27</f>
        <v>Lenduvad orgaanilised ühendid, t/a</v>
      </c>
      <c r="C53" s="253">
        <f>C27+C41</f>
        <v>2.9000000000000001E-2</v>
      </c>
      <c r="D53" s="253">
        <f t="shared" ref="D53:E53" si="6">D27+D41</f>
        <v>4.8000000000000001E-2</v>
      </c>
      <c r="E53" s="253">
        <f t="shared" si="6"/>
        <v>2.1750000000000002E-2</v>
      </c>
      <c r="F53" s="253">
        <f>F27+F41</f>
        <v>3.4437500000000003E-2</v>
      </c>
    </row>
    <row r="54" spans="2:6" x14ac:dyDescent="0.3">
      <c r="B54" s="1" t="str">
        <f>B42</f>
        <v>Aromaatsed süsivesinikud, t/a</v>
      </c>
      <c r="C54" s="253">
        <f>C28+C42</f>
        <v>8.7000000000000001E-4</v>
      </c>
      <c r="D54" s="253">
        <f t="shared" ref="D54:F54" si="7">D28+D42</f>
        <v>1.4399999999999999E-3</v>
      </c>
      <c r="E54" s="253">
        <f t="shared" si="7"/>
        <v>6.5250000000000009E-4</v>
      </c>
      <c r="F54" s="253">
        <f t="shared" si="7"/>
        <v>1.033125E-3</v>
      </c>
    </row>
    <row r="55" spans="2:6" x14ac:dyDescent="0.3">
      <c r="B55" s="147" t="s">
        <v>237</v>
      </c>
      <c r="C55" s="253">
        <f>C29+C43</f>
        <v>4.5133333333333338E-2</v>
      </c>
      <c r="D55" s="253">
        <f t="shared" ref="D55:F55" si="8">D29+D43</f>
        <v>5.9333333333333327</v>
      </c>
      <c r="E55" s="253">
        <f t="shared" si="8"/>
        <v>4.5133333333333345E-2</v>
      </c>
      <c r="F55" s="253">
        <f t="shared" si="8"/>
        <v>4.5633333333333338E-2</v>
      </c>
    </row>
    <row r="56" spans="2:6" x14ac:dyDescent="0.3">
      <c r="B56" s="147" t="s">
        <v>238</v>
      </c>
      <c r="C56" s="253">
        <f>C30+C44</f>
        <v>1.354E-3</v>
      </c>
      <c r="D56" s="253">
        <f t="shared" ref="D56:F56" si="9">D30+D44</f>
        <v>4.933333333333333E-3</v>
      </c>
      <c r="E56" s="253">
        <f t="shared" si="9"/>
        <v>8.6400000000000008E-4</v>
      </c>
      <c r="F56" s="253">
        <f t="shared" si="9"/>
        <v>1.369E-3</v>
      </c>
    </row>
  </sheetData>
  <mergeCells count="4">
    <mergeCell ref="B3:B4"/>
    <mergeCell ref="N1:O1"/>
    <mergeCell ref="A3:A4"/>
    <mergeCell ref="A12:A1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88"/>
  <sheetViews>
    <sheetView zoomScaleNormal="100" workbookViewId="0">
      <selection activeCell="J14" sqref="J14"/>
    </sheetView>
  </sheetViews>
  <sheetFormatPr defaultRowHeight="14.4" x14ac:dyDescent="0.3"/>
  <cols>
    <col min="1" max="1" width="21.44140625" customWidth="1"/>
    <col min="2" max="2" width="30.109375" customWidth="1"/>
    <col min="3" max="3" width="12.6640625" customWidth="1"/>
    <col min="4" max="4" width="14.6640625" customWidth="1"/>
    <col min="5" max="5" width="15.5546875" customWidth="1"/>
    <col min="6" max="6" width="17.5546875" customWidth="1"/>
    <col min="7" max="10" width="15.5546875" customWidth="1"/>
    <col min="11" max="11" width="15.109375" customWidth="1"/>
    <col min="12" max="12" width="14" customWidth="1"/>
    <col min="13" max="13" width="12.109375" customWidth="1"/>
    <col min="14" max="14" width="42.6640625" customWidth="1"/>
    <col min="16" max="16" width="12.6640625" customWidth="1"/>
  </cols>
  <sheetData>
    <row r="1" spans="1:16" x14ac:dyDescent="0.3">
      <c r="A1" s="18" t="s">
        <v>201</v>
      </c>
      <c r="C1" s="19" t="s">
        <v>344</v>
      </c>
      <c r="D1" s="19" t="s">
        <v>90</v>
      </c>
    </row>
    <row r="2" spans="1:16" x14ac:dyDescent="0.3">
      <c r="A2" t="s">
        <v>218</v>
      </c>
      <c r="B2" s="228">
        <v>2800</v>
      </c>
      <c r="C2" s="19">
        <v>0.9</v>
      </c>
      <c r="D2" s="19">
        <f>B2/C2</f>
        <v>3111.1111111111109</v>
      </c>
    </row>
    <row r="3" spans="1:16" x14ac:dyDescent="0.3">
      <c r="B3" s="2" t="s">
        <v>0</v>
      </c>
      <c r="C3" s="2" t="s">
        <v>1</v>
      </c>
      <c r="D3" s="2" t="s">
        <v>0</v>
      </c>
    </row>
    <row r="4" spans="1:16" s="17" customFormat="1" ht="28.8" x14ac:dyDescent="0.3">
      <c r="A4" s="22"/>
      <c r="B4" s="22" t="s">
        <v>2</v>
      </c>
      <c r="C4" s="22" t="s">
        <v>3</v>
      </c>
      <c r="D4" s="23" t="s">
        <v>368</v>
      </c>
      <c r="E4" s="22" t="s">
        <v>4</v>
      </c>
      <c r="F4" s="22" t="s">
        <v>5</v>
      </c>
      <c r="G4" s="23" t="s">
        <v>6</v>
      </c>
      <c r="H4" s="22" t="s">
        <v>7</v>
      </c>
      <c r="I4" s="22" t="s">
        <v>66</v>
      </c>
      <c r="J4" s="22" t="s">
        <v>114</v>
      </c>
      <c r="K4" s="23" t="s">
        <v>62</v>
      </c>
      <c r="L4" s="23" t="s">
        <v>202</v>
      </c>
      <c r="M4" s="22" t="s">
        <v>65</v>
      </c>
      <c r="O4" s="374" t="s">
        <v>216</v>
      </c>
      <c r="P4" s="375"/>
    </row>
    <row r="5" spans="1:16" x14ac:dyDescent="0.3">
      <c r="A5" s="19">
        <v>1</v>
      </c>
      <c r="B5" s="19">
        <v>4.5</v>
      </c>
      <c r="C5" s="19">
        <v>0.92</v>
      </c>
      <c r="D5" s="278">
        <f>B5/C5</f>
        <v>4.8913043478260869</v>
      </c>
      <c r="E5" s="387">
        <v>0.8</v>
      </c>
      <c r="F5" s="387">
        <v>39.700000000000003</v>
      </c>
      <c r="G5" s="387">
        <v>205</v>
      </c>
      <c r="H5" s="387">
        <v>36</v>
      </c>
      <c r="I5" s="387">
        <v>0.8</v>
      </c>
      <c r="J5" s="381">
        <v>0.15</v>
      </c>
      <c r="K5" s="2">
        <f>P6</f>
        <v>1855</v>
      </c>
      <c r="L5" s="385">
        <f>F58</f>
        <v>8.8460836597736705</v>
      </c>
      <c r="M5" s="383" t="s">
        <v>317</v>
      </c>
      <c r="O5" s="19" t="s">
        <v>0</v>
      </c>
      <c r="P5" s="19" t="s">
        <v>61</v>
      </c>
    </row>
    <row r="6" spans="1:16" x14ac:dyDescent="0.3">
      <c r="A6" s="19">
        <v>2</v>
      </c>
      <c r="B6" s="19">
        <v>3.5</v>
      </c>
      <c r="C6" s="19">
        <v>0.92</v>
      </c>
      <c r="D6" s="278">
        <f>B6/C6</f>
        <v>3.8043478260869565</v>
      </c>
      <c r="E6" s="388"/>
      <c r="F6" s="387"/>
      <c r="G6" s="387"/>
      <c r="H6" s="387"/>
      <c r="I6" s="387"/>
      <c r="J6" s="382"/>
      <c r="K6" s="47">
        <f>P7</f>
        <v>945</v>
      </c>
      <c r="L6" s="386"/>
      <c r="M6" s="384"/>
      <c r="O6" s="112">
        <f>D5</f>
        <v>4.8913043478260869</v>
      </c>
      <c r="P6" s="1">
        <f>ROUND(B2*0.6625,0)</f>
        <v>1855</v>
      </c>
    </row>
    <row r="7" spans="1:16" x14ac:dyDescent="0.3">
      <c r="A7" s="19" t="s">
        <v>63</v>
      </c>
      <c r="B7" s="43">
        <f>SUM(B5:B6)</f>
        <v>8</v>
      </c>
      <c r="C7" s="19"/>
      <c r="D7" s="283">
        <f>SUM(D5:D6)</f>
        <v>8.695652173913043</v>
      </c>
      <c r="K7">
        <f>SUM(K5:K6)</f>
        <v>2800</v>
      </c>
      <c r="O7" s="112">
        <f>D6</f>
        <v>3.8043478260869565</v>
      </c>
      <c r="P7" s="1">
        <f>ROUND(B2*0.3375,0)</f>
        <v>945</v>
      </c>
    </row>
    <row r="8" spans="1:16" x14ac:dyDescent="0.3">
      <c r="B8" s="2"/>
      <c r="C8" s="2"/>
      <c r="D8" s="2"/>
      <c r="O8" s="112">
        <f>SUM(O6:O7)</f>
        <v>8.695652173913043</v>
      </c>
      <c r="P8" s="1">
        <f>B2</f>
        <v>2800</v>
      </c>
    </row>
    <row r="9" spans="1:16" x14ac:dyDescent="0.3">
      <c r="A9" s="259"/>
      <c r="B9" s="260"/>
      <c r="C9" s="259"/>
      <c r="D9" s="85"/>
      <c r="E9" s="389">
        <v>4.5</v>
      </c>
      <c r="F9" s="389"/>
      <c r="G9" s="389">
        <v>3.8</v>
      </c>
      <c r="H9" s="389"/>
      <c r="I9" s="365" t="s">
        <v>215</v>
      </c>
      <c r="J9" s="366"/>
    </row>
    <row r="10" spans="1:16" x14ac:dyDescent="0.3">
      <c r="A10" s="259"/>
      <c r="B10" s="260"/>
      <c r="C10" s="259"/>
      <c r="D10" s="85" t="s">
        <v>217</v>
      </c>
      <c r="E10" s="376">
        <f>F5*K5</f>
        <v>73643.5</v>
      </c>
      <c r="F10" s="377"/>
      <c r="G10" s="376">
        <f>F5*K6</f>
        <v>37516.5</v>
      </c>
      <c r="H10" s="377"/>
      <c r="I10" s="390"/>
      <c r="J10" s="391"/>
    </row>
    <row r="11" spans="1:16" ht="43.2" x14ac:dyDescent="0.3">
      <c r="A11" s="5" t="s">
        <v>9</v>
      </c>
      <c r="B11" s="6" t="s">
        <v>10</v>
      </c>
      <c r="C11" s="6" t="s">
        <v>11</v>
      </c>
      <c r="D11" s="6" t="s">
        <v>12</v>
      </c>
      <c r="E11" s="6" t="s">
        <v>13</v>
      </c>
      <c r="F11" s="6" t="s">
        <v>14</v>
      </c>
      <c r="G11" s="111" t="s">
        <v>13</v>
      </c>
      <c r="H11" s="111" t="s">
        <v>14</v>
      </c>
      <c r="I11" s="111" t="s">
        <v>14</v>
      </c>
      <c r="J11" s="111" t="s">
        <v>13</v>
      </c>
    </row>
    <row r="12" spans="1:16" x14ac:dyDescent="0.3">
      <c r="A12" s="7" t="s">
        <v>15</v>
      </c>
      <c r="B12" s="4" t="s">
        <v>16</v>
      </c>
      <c r="C12" s="8" t="s">
        <v>17</v>
      </c>
      <c r="D12" s="9">
        <v>111</v>
      </c>
      <c r="E12" s="113">
        <f>D12*$E$10/1000000</f>
        <v>8.1744284999999994</v>
      </c>
      <c r="F12" s="113">
        <f>D12*$D$5/1000</f>
        <v>0.54293478260869565</v>
      </c>
      <c r="G12" s="113">
        <f>D12*$G$10/1000000</f>
        <v>4.1643315000000003</v>
      </c>
      <c r="H12" s="16">
        <f>D12*$D$6/1000</f>
        <v>0.42228260869565221</v>
      </c>
      <c r="I12" s="232">
        <f t="shared" ref="I12:I31" si="0">F12+H12</f>
        <v>0.9652173913043478</v>
      </c>
      <c r="J12" s="233">
        <f t="shared" ref="J12:J32" si="1">E12+G12</f>
        <v>12.338760000000001</v>
      </c>
    </row>
    <row r="13" spans="1:16" x14ac:dyDescent="0.3">
      <c r="A13" s="7" t="s">
        <v>18</v>
      </c>
      <c r="B13" s="4" t="s">
        <v>19</v>
      </c>
      <c r="C13" s="8" t="s">
        <v>17</v>
      </c>
      <c r="D13" s="9">
        <v>42</v>
      </c>
      <c r="E13" s="113">
        <f>D13*$E$10/1000000</f>
        <v>3.0930270000000002</v>
      </c>
      <c r="F13" s="113">
        <f>D13*$D$5/1000</f>
        <v>0.20543478260869566</v>
      </c>
      <c r="G13" s="113">
        <f>D13*$G$10/1000000</f>
        <v>1.575693</v>
      </c>
      <c r="H13" s="16">
        <f>D13*$D$6/1000</f>
        <v>0.1597826086956522</v>
      </c>
      <c r="I13" s="232">
        <f t="shared" si="0"/>
        <v>0.36521739130434783</v>
      </c>
      <c r="J13" s="233">
        <f t="shared" si="1"/>
        <v>4.6687200000000004</v>
      </c>
    </row>
    <row r="14" spans="1:16" ht="28.8" x14ac:dyDescent="0.3">
      <c r="A14" s="11" t="s">
        <v>20</v>
      </c>
      <c r="B14" s="4" t="s">
        <v>21</v>
      </c>
      <c r="C14" s="8" t="s">
        <v>17</v>
      </c>
      <c r="D14" s="9">
        <v>5</v>
      </c>
      <c r="E14" s="113">
        <f>D14*$E$10/1000000</f>
        <v>0.36821749999999998</v>
      </c>
      <c r="F14" s="113">
        <f>D14*$D$5/1000</f>
        <v>2.4456521739130432E-2</v>
      </c>
      <c r="G14" s="113">
        <f>D14*$G$10/1000000</f>
        <v>0.18758250000000001</v>
      </c>
      <c r="H14" s="16">
        <f>D14*$D$6/1000</f>
        <v>1.902173913043478E-2</v>
      </c>
      <c r="I14" s="232">
        <f t="shared" si="0"/>
        <v>4.3478260869565216E-2</v>
      </c>
      <c r="J14" s="233">
        <f t="shared" si="1"/>
        <v>0.55579999999999996</v>
      </c>
    </row>
    <row r="15" spans="1:16" ht="20.399999999999999" x14ac:dyDescent="0.3">
      <c r="A15" s="12" t="s">
        <v>22</v>
      </c>
      <c r="B15" s="4" t="s">
        <v>23</v>
      </c>
      <c r="C15" s="8" t="s">
        <v>3</v>
      </c>
      <c r="D15" s="34" t="s">
        <v>349</v>
      </c>
      <c r="E15" s="113">
        <f>B42</f>
        <v>29.680000000000003</v>
      </c>
      <c r="F15" s="113">
        <f>B43</f>
        <v>1.9713065381666848</v>
      </c>
      <c r="G15" s="113">
        <f>F42</f>
        <v>15.120000000000003</v>
      </c>
      <c r="H15" s="230">
        <f>F43</f>
        <v>1.5332384185740882</v>
      </c>
      <c r="I15" s="232">
        <f t="shared" si="0"/>
        <v>3.5045449567407729</v>
      </c>
      <c r="J15" s="233">
        <f t="shared" si="1"/>
        <v>44.800000000000004</v>
      </c>
    </row>
    <row r="16" spans="1:16" x14ac:dyDescent="0.3">
      <c r="A16" s="13" t="s">
        <v>24</v>
      </c>
      <c r="B16" s="4" t="s">
        <v>25</v>
      </c>
      <c r="C16" s="8" t="s">
        <v>17</v>
      </c>
      <c r="D16" s="9">
        <v>40</v>
      </c>
      <c r="E16" s="113">
        <f>D16*$E$10/1000000</f>
        <v>2.9457399999999998</v>
      </c>
      <c r="F16" s="113">
        <f t="shared" ref="F16:F31" si="2">D16*$D$5/1000</f>
        <v>0.19565217391304346</v>
      </c>
      <c r="G16" s="113">
        <f t="shared" ref="G16:G31" si="3">D16*$G$10/1000000</f>
        <v>1.5006600000000001</v>
      </c>
      <c r="H16" s="16">
        <f t="shared" ref="H16:H31" si="4">D16*$D$6/1000</f>
        <v>0.15217391304347824</v>
      </c>
      <c r="I16" s="232">
        <f t="shared" si="0"/>
        <v>0.34782608695652173</v>
      </c>
      <c r="J16" s="233">
        <f t="shared" si="1"/>
        <v>4.4463999999999997</v>
      </c>
    </row>
    <row r="17" spans="1:10" x14ac:dyDescent="0.3">
      <c r="A17" s="14" t="s">
        <v>26</v>
      </c>
      <c r="B17" s="4" t="s">
        <v>27</v>
      </c>
      <c r="C17" s="8" t="s">
        <v>17</v>
      </c>
      <c r="D17" s="9">
        <v>6</v>
      </c>
      <c r="E17" s="113">
        <f t="shared" ref="E17:E31" si="5">D17*$E$10/1000000</f>
        <v>0.441861</v>
      </c>
      <c r="F17" s="113">
        <f t="shared" si="2"/>
        <v>2.9347826086956522E-2</v>
      </c>
      <c r="G17" s="113">
        <f t="shared" si="3"/>
        <v>0.22509899999999999</v>
      </c>
      <c r="H17" s="16">
        <f t="shared" si="4"/>
        <v>2.2826086956521739E-2</v>
      </c>
      <c r="I17" s="232">
        <f t="shared" si="0"/>
        <v>5.2173913043478265E-2</v>
      </c>
      <c r="J17" s="233">
        <f t="shared" si="1"/>
        <v>0.66696</v>
      </c>
    </row>
    <row r="18" spans="1:10" x14ac:dyDescent="0.3">
      <c r="A18" s="14" t="s">
        <v>28</v>
      </c>
      <c r="B18" s="4" t="s">
        <v>29</v>
      </c>
      <c r="C18" s="8" t="s">
        <v>17</v>
      </c>
      <c r="D18" s="9">
        <v>6</v>
      </c>
      <c r="E18" s="113">
        <f t="shared" si="5"/>
        <v>0.441861</v>
      </c>
      <c r="F18" s="113">
        <f t="shared" si="2"/>
        <v>2.9347826086956522E-2</v>
      </c>
      <c r="G18" s="113">
        <f t="shared" si="3"/>
        <v>0.22509899999999999</v>
      </c>
      <c r="H18" s="16">
        <f t="shared" si="4"/>
        <v>2.2826086956521739E-2</v>
      </c>
      <c r="I18" s="232">
        <f t="shared" si="0"/>
        <v>5.2173913043478265E-2</v>
      </c>
      <c r="J18" s="233">
        <f t="shared" si="1"/>
        <v>0.66696</v>
      </c>
    </row>
    <row r="19" spans="1:10" x14ac:dyDescent="0.3">
      <c r="A19" s="24" t="s">
        <v>30</v>
      </c>
      <c r="B19" s="24" t="s">
        <v>31</v>
      </c>
      <c r="C19" s="38" t="s">
        <v>32</v>
      </c>
      <c r="D19" s="35">
        <v>10</v>
      </c>
      <c r="E19" s="229">
        <f t="shared" si="5"/>
        <v>0.73643499999999995</v>
      </c>
      <c r="F19" s="229">
        <f t="shared" si="2"/>
        <v>4.8913043478260865E-2</v>
      </c>
      <c r="G19" s="229">
        <f t="shared" si="3"/>
        <v>0.37516500000000003</v>
      </c>
      <c r="H19" s="231">
        <f t="shared" si="4"/>
        <v>3.8043478260869561E-2</v>
      </c>
      <c r="I19" s="234">
        <f t="shared" si="0"/>
        <v>8.6956521739130432E-2</v>
      </c>
      <c r="J19" s="235">
        <f t="shared" si="1"/>
        <v>1.1115999999999999</v>
      </c>
    </row>
    <row r="20" spans="1:10" x14ac:dyDescent="0.3">
      <c r="A20" s="24" t="s">
        <v>33</v>
      </c>
      <c r="B20" s="25" t="s">
        <v>34</v>
      </c>
      <c r="C20" s="39" t="s">
        <v>32</v>
      </c>
      <c r="D20" s="26">
        <v>0.3</v>
      </c>
      <c r="E20" s="229">
        <f t="shared" si="5"/>
        <v>2.2093049999999999E-2</v>
      </c>
      <c r="F20" s="229">
        <f t="shared" si="2"/>
        <v>1.467391304347826E-3</v>
      </c>
      <c r="G20" s="229">
        <f t="shared" si="3"/>
        <v>1.125495E-2</v>
      </c>
      <c r="H20" s="231">
        <f t="shared" si="4"/>
        <v>1.1413043478260868E-3</v>
      </c>
      <c r="I20" s="234">
        <f t="shared" si="0"/>
        <v>2.6086956521739128E-3</v>
      </c>
      <c r="J20" s="234">
        <f t="shared" si="1"/>
        <v>3.3348000000000003E-2</v>
      </c>
    </row>
    <row r="21" spans="1:10" x14ac:dyDescent="0.3">
      <c r="A21" s="24" t="s">
        <v>33</v>
      </c>
      <c r="B21" s="25" t="s">
        <v>35</v>
      </c>
      <c r="C21" s="39" t="s">
        <v>32</v>
      </c>
      <c r="D21" s="26">
        <v>0.1</v>
      </c>
      <c r="E21" s="229">
        <f t="shared" si="5"/>
        <v>7.3643500000000004E-3</v>
      </c>
      <c r="F21" s="229">
        <f t="shared" si="2"/>
        <v>4.8913043478260873E-4</v>
      </c>
      <c r="G21" s="229">
        <f t="shared" si="3"/>
        <v>3.75165E-3</v>
      </c>
      <c r="H21" s="231">
        <f t="shared" si="4"/>
        <v>3.804347826086957E-4</v>
      </c>
      <c r="I21" s="234">
        <f t="shared" si="0"/>
        <v>8.6956521739130449E-4</v>
      </c>
      <c r="J21" s="234">
        <f t="shared" si="1"/>
        <v>1.1116000000000001E-2</v>
      </c>
    </row>
    <row r="22" spans="1:10" x14ac:dyDescent="0.3">
      <c r="A22" s="24" t="s">
        <v>36</v>
      </c>
      <c r="B22" s="25" t="s">
        <v>37</v>
      </c>
      <c r="C22" s="39" t="s">
        <v>32</v>
      </c>
      <c r="D22" s="26">
        <v>44.5</v>
      </c>
      <c r="E22" s="229">
        <f t="shared" si="5"/>
        <v>3.2771357499999998</v>
      </c>
      <c r="F22" s="229">
        <f t="shared" si="2"/>
        <v>0.21766304347826088</v>
      </c>
      <c r="G22" s="229">
        <f t="shared" si="3"/>
        <v>1.66948425</v>
      </c>
      <c r="H22" s="231">
        <f t="shared" si="4"/>
        <v>0.16929347826086957</v>
      </c>
      <c r="I22" s="234">
        <f t="shared" si="0"/>
        <v>0.38695652173913042</v>
      </c>
      <c r="J22" s="235">
        <f t="shared" si="1"/>
        <v>4.9466199999999994</v>
      </c>
    </row>
    <row r="23" spans="1:10" x14ac:dyDescent="0.3">
      <c r="A23" s="24" t="s">
        <v>38</v>
      </c>
      <c r="B23" s="25" t="s">
        <v>39</v>
      </c>
      <c r="C23" s="39" t="s">
        <v>32</v>
      </c>
      <c r="D23" s="26">
        <v>20</v>
      </c>
      <c r="E23" s="229">
        <f t="shared" si="5"/>
        <v>1.4728699999999999</v>
      </c>
      <c r="F23" s="229">
        <f t="shared" si="2"/>
        <v>9.7826086956521729E-2</v>
      </c>
      <c r="G23" s="229">
        <f t="shared" si="3"/>
        <v>0.75033000000000005</v>
      </c>
      <c r="H23" s="231">
        <f t="shared" si="4"/>
        <v>7.6086956521739121E-2</v>
      </c>
      <c r="I23" s="234">
        <f t="shared" si="0"/>
        <v>0.17391304347826086</v>
      </c>
      <c r="J23" s="235">
        <f t="shared" si="1"/>
        <v>2.2231999999999998</v>
      </c>
    </row>
    <row r="24" spans="1:10" x14ac:dyDescent="0.3">
      <c r="A24" s="24" t="s">
        <v>40</v>
      </c>
      <c r="B24" s="25" t="s">
        <v>41</v>
      </c>
      <c r="C24" s="39" t="s">
        <v>32</v>
      </c>
      <c r="D24" s="26">
        <v>6</v>
      </c>
      <c r="E24" s="229">
        <f t="shared" si="5"/>
        <v>0.441861</v>
      </c>
      <c r="F24" s="229">
        <f t="shared" si="2"/>
        <v>2.9347826086956522E-2</v>
      </c>
      <c r="G24" s="229">
        <f t="shared" si="3"/>
        <v>0.22509899999999999</v>
      </c>
      <c r="H24" s="231">
        <f t="shared" si="4"/>
        <v>2.2826086956521739E-2</v>
      </c>
      <c r="I24" s="234">
        <f t="shared" si="0"/>
        <v>5.2173913043478265E-2</v>
      </c>
      <c r="J24" s="234">
        <f t="shared" si="1"/>
        <v>0.66696</v>
      </c>
    </row>
    <row r="25" spans="1:10" x14ac:dyDescent="0.3">
      <c r="A25" s="24" t="s">
        <v>42</v>
      </c>
      <c r="B25" s="24" t="s">
        <v>43</v>
      </c>
      <c r="C25" s="38" t="s">
        <v>32</v>
      </c>
      <c r="D25" s="35">
        <v>200</v>
      </c>
      <c r="E25" s="229">
        <f>D25*$E$10/1000000</f>
        <v>14.7287</v>
      </c>
      <c r="F25" s="229">
        <f>D25*$D$5/1000</f>
        <v>0.97826086956521741</v>
      </c>
      <c r="G25" s="229">
        <f>D25*$G$10/1000000</f>
        <v>7.5033000000000003</v>
      </c>
      <c r="H25" s="231">
        <f>D25*$D$6/1000</f>
        <v>0.76086956521739124</v>
      </c>
      <c r="I25" s="234">
        <f>F25+H25</f>
        <v>1.7391304347826086</v>
      </c>
      <c r="J25" s="235">
        <f t="shared" si="1"/>
        <v>22.231999999999999</v>
      </c>
    </row>
    <row r="26" spans="1:10" x14ac:dyDescent="0.3">
      <c r="A26" s="27" t="s">
        <v>44</v>
      </c>
      <c r="B26" s="27" t="s">
        <v>45</v>
      </c>
      <c r="C26" s="39" t="s">
        <v>32</v>
      </c>
      <c r="D26" s="26">
        <v>5</v>
      </c>
      <c r="E26" s="229">
        <f t="shared" si="5"/>
        <v>0.36821749999999998</v>
      </c>
      <c r="F26" s="229">
        <f t="shared" si="2"/>
        <v>2.4456521739130432E-2</v>
      </c>
      <c r="G26" s="229">
        <f t="shared" si="3"/>
        <v>0.18758250000000001</v>
      </c>
      <c r="H26" s="231">
        <f t="shared" si="4"/>
        <v>1.902173913043478E-2</v>
      </c>
      <c r="I26" s="234">
        <f t="shared" si="0"/>
        <v>4.3478260869565216E-2</v>
      </c>
      <c r="J26" s="234">
        <f t="shared" si="1"/>
        <v>0.55579999999999996</v>
      </c>
    </row>
    <row r="27" spans="1:10" ht="28.8" x14ac:dyDescent="0.3">
      <c r="A27" s="28"/>
      <c r="B27" s="29" t="s">
        <v>46</v>
      </c>
      <c r="C27" s="40" t="s">
        <v>47</v>
      </c>
      <c r="D27" s="36">
        <v>10</v>
      </c>
      <c r="E27" s="113">
        <f t="shared" si="5"/>
        <v>0.73643499999999995</v>
      </c>
      <c r="F27" s="113">
        <f t="shared" si="2"/>
        <v>4.8913043478260865E-2</v>
      </c>
      <c r="G27" s="113">
        <f t="shared" si="3"/>
        <v>0.37516500000000003</v>
      </c>
      <c r="H27" s="16">
        <f t="shared" si="4"/>
        <v>3.8043478260869561E-2</v>
      </c>
      <c r="I27" s="232">
        <f t="shared" si="0"/>
        <v>8.6956521739130432E-2</v>
      </c>
      <c r="J27" s="232">
        <f t="shared" si="1"/>
        <v>1.1115999999999999</v>
      </c>
    </row>
    <row r="28" spans="1:10" x14ac:dyDescent="0.3">
      <c r="A28" s="30"/>
      <c r="B28" s="28" t="s">
        <v>48</v>
      </c>
      <c r="C28" s="41" t="s">
        <v>32</v>
      </c>
      <c r="D28" s="37">
        <v>1</v>
      </c>
      <c r="E28" s="113">
        <f t="shared" si="5"/>
        <v>7.3643500000000001E-2</v>
      </c>
      <c r="F28" s="113">
        <f t="shared" si="2"/>
        <v>4.8913043478260873E-3</v>
      </c>
      <c r="G28" s="113">
        <f t="shared" si="3"/>
        <v>3.7516500000000001E-2</v>
      </c>
      <c r="H28" s="16">
        <f t="shared" si="4"/>
        <v>3.8043478260869567E-3</v>
      </c>
      <c r="I28" s="232">
        <f t="shared" si="0"/>
        <v>8.6956521739130436E-3</v>
      </c>
      <c r="J28" s="232">
        <f t="shared" si="1"/>
        <v>0.11116000000000001</v>
      </c>
    </row>
    <row r="29" spans="1:10" x14ac:dyDescent="0.3">
      <c r="A29" s="30"/>
      <c r="B29" s="28" t="s">
        <v>49</v>
      </c>
      <c r="C29" s="41" t="s">
        <v>32</v>
      </c>
      <c r="D29" s="36">
        <v>1</v>
      </c>
      <c r="E29" s="113">
        <f t="shared" si="5"/>
        <v>7.3643500000000001E-2</v>
      </c>
      <c r="F29" s="113">
        <f t="shared" si="2"/>
        <v>4.8913043478260873E-3</v>
      </c>
      <c r="G29" s="113">
        <f t="shared" si="3"/>
        <v>3.7516500000000001E-2</v>
      </c>
      <c r="H29" s="16">
        <f t="shared" si="4"/>
        <v>3.8043478260869567E-3</v>
      </c>
      <c r="I29" s="232">
        <f t="shared" si="0"/>
        <v>8.6956521739130436E-3</v>
      </c>
      <c r="J29" s="232">
        <f t="shared" si="1"/>
        <v>0.11116000000000001</v>
      </c>
    </row>
    <row r="30" spans="1:10" x14ac:dyDescent="0.3">
      <c r="A30" s="28"/>
      <c r="B30" s="28" t="s">
        <v>50</v>
      </c>
      <c r="C30" s="40" t="s">
        <v>32</v>
      </c>
      <c r="D30" s="36">
        <v>1</v>
      </c>
      <c r="E30" s="113">
        <f t="shared" si="5"/>
        <v>7.3643500000000001E-2</v>
      </c>
      <c r="F30" s="113">
        <f t="shared" si="2"/>
        <v>4.8913043478260873E-3</v>
      </c>
      <c r="G30" s="113">
        <f t="shared" si="3"/>
        <v>3.7516500000000001E-2</v>
      </c>
      <c r="H30" s="16">
        <f t="shared" si="4"/>
        <v>3.8043478260869567E-3</v>
      </c>
      <c r="I30" s="232">
        <f t="shared" si="0"/>
        <v>8.6956521739130436E-3</v>
      </c>
      <c r="J30" s="232">
        <f t="shared" si="1"/>
        <v>0.11116000000000001</v>
      </c>
    </row>
    <row r="31" spans="1:10" x14ac:dyDescent="0.3">
      <c r="A31" s="28"/>
      <c r="B31" s="31" t="s">
        <v>51</v>
      </c>
      <c r="C31" s="40" t="s">
        <v>32</v>
      </c>
      <c r="D31" s="37">
        <v>1</v>
      </c>
      <c r="E31" s="113">
        <f t="shared" si="5"/>
        <v>7.3643500000000001E-2</v>
      </c>
      <c r="F31" s="113">
        <f t="shared" si="2"/>
        <v>4.8913043478260873E-3</v>
      </c>
      <c r="G31" s="113">
        <f t="shared" si="3"/>
        <v>3.7516500000000001E-2</v>
      </c>
      <c r="H31" s="16">
        <f t="shared" si="4"/>
        <v>3.8043478260869567E-3</v>
      </c>
      <c r="I31" s="232">
        <f t="shared" si="0"/>
        <v>8.6956521739130436E-3</v>
      </c>
      <c r="J31" s="232">
        <f t="shared" si="1"/>
        <v>0.11116000000000001</v>
      </c>
    </row>
    <row r="32" spans="1:10" x14ac:dyDescent="0.3">
      <c r="A32" s="28" t="s">
        <v>52</v>
      </c>
      <c r="B32" s="28" t="s">
        <v>53</v>
      </c>
      <c r="C32" s="40"/>
      <c r="D32" s="28"/>
      <c r="E32" s="16">
        <f>B39</f>
        <v>5693.4084424000002</v>
      </c>
      <c r="F32" s="10"/>
      <c r="G32" s="113">
        <f>F39</f>
        <v>2900.4156216000001</v>
      </c>
      <c r="H32" s="16"/>
      <c r="I32" s="232"/>
      <c r="J32" s="233">
        <f t="shared" si="1"/>
        <v>8593.8240640000004</v>
      </c>
    </row>
    <row r="33" spans="1:8" x14ac:dyDescent="0.3">
      <c r="A33" s="30"/>
      <c r="B33" s="44"/>
      <c r="C33" s="41"/>
      <c r="D33" s="45"/>
      <c r="E33" s="46"/>
      <c r="F33" s="46"/>
      <c r="G33" s="42"/>
    </row>
    <row r="34" spans="1:8" x14ac:dyDescent="0.3">
      <c r="A34" s="378" t="s">
        <v>315</v>
      </c>
      <c r="B34" s="379"/>
      <c r="C34" s="380"/>
      <c r="E34" s="378" t="s">
        <v>315</v>
      </c>
      <c r="F34" s="379"/>
      <c r="G34" s="380"/>
    </row>
    <row r="35" spans="1:8" x14ac:dyDescent="0.3">
      <c r="A35" s="1" t="s">
        <v>54</v>
      </c>
      <c r="B35" s="1">
        <f>E10</f>
        <v>73643.5</v>
      </c>
      <c r="C35" s="1" t="s">
        <v>55</v>
      </c>
      <c r="E35" s="1" t="s">
        <v>54</v>
      </c>
      <c r="F35" s="1">
        <f>G10</f>
        <v>37516.5</v>
      </c>
      <c r="G35" s="1" t="s">
        <v>55</v>
      </c>
    </row>
    <row r="36" spans="1:8" x14ac:dyDescent="0.3">
      <c r="A36" s="1" t="s">
        <v>56</v>
      </c>
      <c r="B36" s="1">
        <v>21.1</v>
      </c>
      <c r="C36" s="1" t="s">
        <v>57</v>
      </c>
      <c r="E36" s="1" t="s">
        <v>56</v>
      </c>
      <c r="F36" s="1">
        <v>21.1</v>
      </c>
      <c r="G36" s="1" t="s">
        <v>57</v>
      </c>
    </row>
    <row r="37" spans="1:8" x14ac:dyDescent="0.3">
      <c r="A37" s="1" t="s">
        <v>58</v>
      </c>
      <c r="B37" s="1">
        <v>1</v>
      </c>
      <c r="C37" s="1"/>
      <c r="E37" s="1" t="s">
        <v>58</v>
      </c>
      <c r="F37" s="1">
        <v>1</v>
      </c>
      <c r="G37" s="1"/>
    </row>
    <row r="38" spans="1:8" ht="28.8" x14ac:dyDescent="0.3">
      <c r="A38" s="3" t="s">
        <v>59</v>
      </c>
      <c r="B38" s="15">
        <f>(E10*B36*B37)/1000</f>
        <v>1553.8778500000001</v>
      </c>
      <c r="C38" s="1"/>
      <c r="E38" s="3" t="s">
        <v>59</v>
      </c>
      <c r="F38" s="15">
        <f>(G10*F36*F37)/1000</f>
        <v>791.59815000000003</v>
      </c>
      <c r="G38" s="1"/>
    </row>
    <row r="39" spans="1:8" x14ac:dyDescent="0.3">
      <c r="A39" s="1" t="s">
        <v>60</v>
      </c>
      <c r="B39" s="16">
        <f>B38*3.664</f>
        <v>5693.4084424000002</v>
      </c>
      <c r="C39" s="1" t="s">
        <v>61</v>
      </c>
      <c r="E39" s="1" t="s">
        <v>60</v>
      </c>
      <c r="F39" s="16">
        <f>F38*3.664</f>
        <v>2900.4156216000001</v>
      </c>
      <c r="G39" s="1" t="s">
        <v>61</v>
      </c>
    </row>
    <row r="41" spans="1:8" x14ac:dyDescent="0.3">
      <c r="A41" s="378" t="s">
        <v>316</v>
      </c>
      <c r="B41" s="379"/>
      <c r="C41" s="380"/>
      <c r="E41" s="378" t="s">
        <v>316</v>
      </c>
      <c r="F41" s="379"/>
      <c r="G41" s="380"/>
    </row>
    <row r="42" spans="1:8" x14ac:dyDescent="0.3">
      <c r="A42" s="32" t="s">
        <v>85</v>
      </c>
      <c r="B42" s="33">
        <f>0.02*K5*E5</f>
        <v>29.680000000000003</v>
      </c>
      <c r="C42" s="32" t="s">
        <v>86</v>
      </c>
      <c r="E42" s="32" t="s">
        <v>85</v>
      </c>
      <c r="F42" s="33">
        <f>0.02*K6*E5</f>
        <v>15.120000000000003</v>
      </c>
      <c r="G42" s="32" t="s">
        <v>86</v>
      </c>
    </row>
    <row r="43" spans="1:8" x14ac:dyDescent="0.3">
      <c r="A43" s="32" t="s">
        <v>85</v>
      </c>
      <c r="B43" s="33">
        <f>20*D5*E5/F5</f>
        <v>1.9713065381666848</v>
      </c>
      <c r="C43" s="32" t="s">
        <v>87</v>
      </c>
      <c r="E43" s="32" t="s">
        <v>85</v>
      </c>
      <c r="F43" s="33">
        <f>20*D6*E5/F5</f>
        <v>1.5332384185740882</v>
      </c>
      <c r="G43" s="32" t="s">
        <v>87</v>
      </c>
    </row>
    <row r="45" spans="1:8" x14ac:dyDescent="0.3">
      <c r="A45" s="109" t="s">
        <v>314</v>
      </c>
      <c r="B45" s="110"/>
      <c r="C45" s="110"/>
      <c r="D45" s="110"/>
      <c r="E45" s="376">
        <f>E9</f>
        <v>4.5</v>
      </c>
      <c r="F45" s="377"/>
      <c r="G45" s="376">
        <f>G9</f>
        <v>3.8</v>
      </c>
      <c r="H45" s="377"/>
    </row>
    <row r="46" spans="1:8" x14ac:dyDescent="0.3">
      <c r="A46" t="s">
        <v>67</v>
      </c>
      <c r="D46" t="s">
        <v>68</v>
      </c>
      <c r="E46" s="16">
        <f>D5</f>
        <v>4.8913043478260869</v>
      </c>
      <c r="F46" s="1" t="s">
        <v>8</v>
      </c>
      <c r="G46" s="16">
        <f>D6</f>
        <v>3.8043478260869565</v>
      </c>
      <c r="H46" s="1" t="s">
        <v>8</v>
      </c>
    </row>
    <row r="47" spans="1:8" x14ac:dyDescent="0.3">
      <c r="A47" t="s">
        <v>219</v>
      </c>
      <c r="E47" s="1"/>
      <c r="F47" s="1"/>
      <c r="G47" s="15"/>
      <c r="H47" s="1"/>
    </row>
    <row r="48" spans="1:8" x14ac:dyDescent="0.3">
      <c r="D48" t="s">
        <v>70</v>
      </c>
      <c r="E48" s="15">
        <f>E46*0.25</f>
        <v>1.2228260869565217</v>
      </c>
      <c r="F48" s="1" t="s">
        <v>71</v>
      </c>
      <c r="G48" s="15">
        <f>G46*0.25</f>
        <v>0.95108695652173914</v>
      </c>
      <c r="H48" s="1" t="s">
        <v>71</v>
      </c>
    </row>
    <row r="49" spans="1:13" x14ac:dyDescent="0.3">
      <c r="A49" t="s">
        <v>72</v>
      </c>
      <c r="D49" s="20" t="s">
        <v>73</v>
      </c>
      <c r="E49" s="15">
        <f>20.9/(20.9-3)</f>
        <v>1.1675977653631284</v>
      </c>
      <c r="F49" s="1"/>
      <c r="G49" s="15">
        <f>E49</f>
        <v>1.1675977653631284</v>
      </c>
      <c r="H49" s="1"/>
    </row>
    <row r="50" spans="1:13" x14ac:dyDescent="0.3">
      <c r="D50" t="s">
        <v>73</v>
      </c>
      <c r="E50" s="116" t="s">
        <v>74</v>
      </c>
      <c r="F50" s="115"/>
      <c r="G50" s="114"/>
      <c r="H50" s="115"/>
      <c r="M50" s="21"/>
    </row>
    <row r="51" spans="1:13" x14ac:dyDescent="0.3">
      <c r="A51" t="s">
        <v>75</v>
      </c>
      <c r="D51" t="s">
        <v>76</v>
      </c>
      <c r="E51" s="15">
        <f>E48*E49</f>
        <v>1.4277690065581734</v>
      </c>
      <c r="F51" s="1" t="s">
        <v>77</v>
      </c>
      <c r="G51" s="15">
        <f>G48*G49</f>
        <v>1.1104870051008016</v>
      </c>
      <c r="H51" s="1" t="s">
        <v>77</v>
      </c>
    </row>
    <row r="52" spans="1:13" x14ac:dyDescent="0.3">
      <c r="A52" t="s">
        <v>205</v>
      </c>
      <c r="D52" t="s">
        <v>83</v>
      </c>
      <c r="E52" s="1">
        <f>I5</f>
        <v>0.8</v>
      </c>
      <c r="F52" s="1" t="s">
        <v>69</v>
      </c>
      <c r="G52" s="117">
        <f>E52</f>
        <v>0.8</v>
      </c>
      <c r="H52" s="1" t="s">
        <v>69</v>
      </c>
    </row>
    <row r="53" spans="1:13" x14ac:dyDescent="0.3">
      <c r="A53" t="s">
        <v>204</v>
      </c>
      <c r="E53" s="1">
        <f>G5</f>
        <v>205</v>
      </c>
      <c r="F53" s="1" t="s">
        <v>78</v>
      </c>
      <c r="G53" s="65">
        <f>E53</f>
        <v>205</v>
      </c>
      <c r="H53" s="1" t="s">
        <v>78</v>
      </c>
    </row>
    <row r="54" spans="1:13" x14ac:dyDescent="0.3">
      <c r="A54" t="s">
        <v>203</v>
      </c>
      <c r="D54" t="s">
        <v>80</v>
      </c>
      <c r="E54" s="190">
        <f>E51*(273+E53)/273</f>
        <v>2.49990324225204</v>
      </c>
      <c r="F54" s="80" t="s">
        <v>79</v>
      </c>
      <c r="G54" s="190">
        <f>G51*(273+G53)/273</f>
        <v>1.9443691884182532</v>
      </c>
      <c r="H54" s="80" t="s">
        <v>79</v>
      </c>
    </row>
    <row r="55" spans="1:13" x14ac:dyDescent="0.3">
      <c r="E55" s="16">
        <f>4*E54/(3.14*E52*E52)</f>
        <v>4.9759220586226904</v>
      </c>
      <c r="F55" s="1" t="s">
        <v>82</v>
      </c>
      <c r="G55" s="16">
        <f>4*G54/(3.14*G52*G52)</f>
        <v>3.8701616011509814</v>
      </c>
      <c r="H55" s="1" t="s">
        <v>82</v>
      </c>
    </row>
    <row r="56" spans="1:13" x14ac:dyDescent="0.3">
      <c r="F56" s="46"/>
    </row>
    <row r="57" spans="1:13" x14ac:dyDescent="0.3">
      <c r="A57" t="s">
        <v>220</v>
      </c>
      <c r="D57" t="s">
        <v>80</v>
      </c>
      <c r="F57" s="16">
        <f>E54+G54</f>
        <v>4.444272430670293</v>
      </c>
      <c r="G57" s="1" t="s">
        <v>79</v>
      </c>
    </row>
    <row r="58" spans="1:13" x14ac:dyDescent="0.3">
      <c r="A58" t="s">
        <v>81</v>
      </c>
      <c r="D58" t="s">
        <v>84</v>
      </c>
      <c r="F58" s="16">
        <f>4*F57/(3.14*E52*E52)</f>
        <v>8.8460836597736705</v>
      </c>
      <c r="G58" s="1" t="s">
        <v>82</v>
      </c>
    </row>
    <row r="61" spans="1:13" x14ac:dyDescent="0.3">
      <c r="A61" t="s">
        <v>374</v>
      </c>
    </row>
    <row r="62" spans="1:13" x14ac:dyDescent="0.3">
      <c r="A62">
        <v>4.8899999999999997</v>
      </c>
    </row>
    <row r="63" spans="1:13" x14ac:dyDescent="0.3">
      <c r="A63" s="1" t="s">
        <v>371</v>
      </c>
      <c r="B63" s="16">
        <f>E54*273/(E53+273)</f>
        <v>1.4277690065581736</v>
      </c>
      <c r="C63" s="1" t="s">
        <v>77</v>
      </c>
      <c r="I63" s="89"/>
    </row>
    <row r="64" spans="1:13" x14ac:dyDescent="0.3">
      <c r="A64" s="1" t="s">
        <v>372</v>
      </c>
      <c r="B64" s="281">
        <f>F12</f>
        <v>0.54293478260869565</v>
      </c>
      <c r="C64" s="1"/>
      <c r="I64" s="89"/>
    </row>
    <row r="65" spans="1:3" x14ac:dyDescent="0.3">
      <c r="A65" s="1" t="s">
        <v>375</v>
      </c>
      <c r="B65" s="282">
        <f>B64/B63*1000</f>
        <v>380.26794258373201</v>
      </c>
      <c r="C65" s="1" t="s">
        <v>373</v>
      </c>
    </row>
    <row r="66" spans="1:3" x14ac:dyDescent="0.3">
      <c r="A66" s="279"/>
      <c r="B66" s="89"/>
    </row>
    <row r="67" spans="1:3" x14ac:dyDescent="0.3">
      <c r="A67" s="1" t="s">
        <v>371</v>
      </c>
      <c r="B67" s="16">
        <f>B63</f>
        <v>1.4277690065581736</v>
      </c>
      <c r="C67" s="1" t="s">
        <v>77</v>
      </c>
    </row>
    <row r="68" spans="1:3" x14ac:dyDescent="0.3">
      <c r="A68" s="1" t="s">
        <v>372</v>
      </c>
      <c r="B68" s="280">
        <f>F15</f>
        <v>1.9713065381666848</v>
      </c>
      <c r="C68" s="1"/>
    </row>
    <row r="69" spans="1:3" x14ac:dyDescent="0.3">
      <c r="A69" s="1" t="s">
        <v>376</v>
      </c>
      <c r="B69" s="282">
        <f>B68/B67*1000</f>
        <v>1380.690104009738</v>
      </c>
      <c r="C69" s="1" t="s">
        <v>373</v>
      </c>
    </row>
    <row r="71" spans="1:3" x14ac:dyDescent="0.3">
      <c r="A71" s="1" t="s">
        <v>371</v>
      </c>
      <c r="B71" s="16">
        <f>B67</f>
        <v>1.4277690065581736</v>
      </c>
      <c r="C71" s="1" t="s">
        <v>77</v>
      </c>
    </row>
    <row r="72" spans="1:3" x14ac:dyDescent="0.3">
      <c r="A72" s="1" t="s">
        <v>372</v>
      </c>
      <c r="B72" s="280">
        <f>F16</f>
        <v>0.19565217391304346</v>
      </c>
      <c r="C72" s="1"/>
    </row>
    <row r="73" spans="1:3" x14ac:dyDescent="0.3">
      <c r="A73" s="1" t="s">
        <v>377</v>
      </c>
      <c r="B73" s="282">
        <f>B72/B71*1000</f>
        <v>137.03349282296648</v>
      </c>
      <c r="C73" s="1" t="s">
        <v>373</v>
      </c>
    </row>
    <row r="74" spans="1:3" x14ac:dyDescent="0.3">
      <c r="B74" s="91"/>
    </row>
    <row r="75" spans="1:3" x14ac:dyDescent="0.3">
      <c r="B75" s="91"/>
    </row>
    <row r="77" spans="1:3" x14ac:dyDescent="0.3">
      <c r="A77">
        <v>3.87</v>
      </c>
    </row>
    <row r="78" spans="1:3" x14ac:dyDescent="0.3">
      <c r="A78" s="1" t="s">
        <v>371</v>
      </c>
      <c r="B78" s="16">
        <f>G54*273/(G53+273)</f>
        <v>1.1104870051008016</v>
      </c>
      <c r="C78" s="1" t="s">
        <v>77</v>
      </c>
    </row>
    <row r="79" spans="1:3" x14ac:dyDescent="0.3">
      <c r="A79" s="1" t="s">
        <v>372</v>
      </c>
      <c r="B79" s="280">
        <f>H12</f>
        <v>0.42228260869565221</v>
      </c>
      <c r="C79" s="1"/>
    </row>
    <row r="80" spans="1:3" x14ac:dyDescent="0.3">
      <c r="A80" s="1" t="s">
        <v>375</v>
      </c>
      <c r="B80" s="282">
        <f>B79/B78*1000</f>
        <v>380.26794258373207</v>
      </c>
      <c r="C80" s="1" t="s">
        <v>373</v>
      </c>
    </row>
    <row r="81" spans="1:3" x14ac:dyDescent="0.3">
      <c r="A81" s="279"/>
      <c r="B81" s="89"/>
    </row>
    <row r="82" spans="1:3" x14ac:dyDescent="0.3">
      <c r="A82" s="1" t="s">
        <v>371</v>
      </c>
      <c r="B82" s="16">
        <f>B78</f>
        <v>1.1104870051008016</v>
      </c>
      <c r="C82" s="1" t="s">
        <v>77</v>
      </c>
    </row>
    <row r="83" spans="1:3" x14ac:dyDescent="0.3">
      <c r="A83" s="1" t="s">
        <v>372</v>
      </c>
      <c r="B83" s="280">
        <f>H15</f>
        <v>1.5332384185740882</v>
      </c>
      <c r="C83" s="1"/>
    </row>
    <row r="84" spans="1:3" x14ac:dyDescent="0.3">
      <c r="A84" s="1" t="s">
        <v>376</v>
      </c>
      <c r="B84" s="282">
        <f>B83/B82*1000</f>
        <v>1380.690104009738</v>
      </c>
      <c r="C84" s="1" t="s">
        <v>373</v>
      </c>
    </row>
    <row r="86" spans="1:3" x14ac:dyDescent="0.3">
      <c r="A86" s="1" t="s">
        <v>371</v>
      </c>
      <c r="B86" s="16">
        <f>B82</f>
        <v>1.1104870051008016</v>
      </c>
      <c r="C86" s="1" t="s">
        <v>77</v>
      </c>
    </row>
    <row r="87" spans="1:3" x14ac:dyDescent="0.3">
      <c r="A87" s="1" t="s">
        <v>372</v>
      </c>
      <c r="B87" s="280">
        <f>H16</f>
        <v>0.15217391304347824</v>
      </c>
      <c r="C87" s="1"/>
    </row>
    <row r="88" spans="1:3" x14ac:dyDescent="0.3">
      <c r="A88" s="1" t="s">
        <v>377</v>
      </c>
      <c r="B88" s="282">
        <f>B87/B86*1000</f>
        <v>137.03349282296648</v>
      </c>
      <c r="C88" s="1" t="s">
        <v>373</v>
      </c>
    </row>
  </sheetData>
  <mergeCells count="20">
    <mergeCell ref="A41:C41"/>
    <mergeCell ref="A34:C34"/>
    <mergeCell ref="H5:H6"/>
    <mergeCell ref="I5:I6"/>
    <mergeCell ref="G5:G6"/>
    <mergeCell ref="F5:F6"/>
    <mergeCell ref="E5:E6"/>
    <mergeCell ref="E9:F9"/>
    <mergeCell ref="G9:H9"/>
    <mergeCell ref="E10:F10"/>
    <mergeCell ref="I9:J10"/>
    <mergeCell ref="O4:P4"/>
    <mergeCell ref="E45:F45"/>
    <mergeCell ref="G45:H45"/>
    <mergeCell ref="G10:H10"/>
    <mergeCell ref="E34:G34"/>
    <mergeCell ref="E41:G41"/>
    <mergeCell ref="J5:J6"/>
    <mergeCell ref="M5:M6"/>
    <mergeCell ref="L5:L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V82"/>
  <sheetViews>
    <sheetView zoomScaleNormal="100" workbookViewId="0">
      <selection activeCell="N45" sqref="N45"/>
    </sheetView>
  </sheetViews>
  <sheetFormatPr defaultColWidth="8.88671875" defaultRowHeight="14.4" x14ac:dyDescent="0.3"/>
  <cols>
    <col min="1" max="1" width="8.88671875" customWidth="1"/>
    <col min="2" max="2" width="9.33203125" bestFit="1" customWidth="1"/>
    <col min="3" max="3" width="10.5546875" bestFit="1" customWidth="1"/>
    <col min="4" max="4" width="12.88671875" bestFit="1" customWidth="1"/>
    <col min="5" max="5" width="16.44140625" customWidth="1"/>
    <col min="6" max="6" width="12.5546875" customWidth="1"/>
    <col min="7" max="7" width="12.109375" customWidth="1"/>
    <col min="8" max="8" width="12.6640625" customWidth="1"/>
    <col min="9" max="9" width="23.44140625" customWidth="1"/>
    <col min="10" max="10" width="18.88671875" bestFit="1" customWidth="1"/>
    <col min="11" max="11" width="12.5546875" customWidth="1"/>
    <col min="12" max="12" width="21.44140625" customWidth="1"/>
    <col min="13" max="13" width="3.5546875" customWidth="1"/>
    <col min="14" max="14" width="24" customWidth="1"/>
    <col min="15" max="15" width="19.5546875" customWidth="1"/>
    <col min="16" max="16" width="13.109375" customWidth="1"/>
    <col min="17" max="17" width="13.6640625" customWidth="1"/>
    <col min="18" max="18" width="17" customWidth="1"/>
    <col min="19" max="19" width="20.44140625" customWidth="1"/>
    <col min="20" max="20" width="12" customWidth="1"/>
    <col min="21" max="22" width="13.6640625" customWidth="1"/>
  </cols>
  <sheetData>
    <row r="1" spans="1:22" x14ac:dyDescent="0.3">
      <c r="A1" s="18" t="s">
        <v>212</v>
      </c>
    </row>
    <row r="2" spans="1:22" s="2" customFormat="1" ht="15" thickBot="1" x14ac:dyDescent="0.35">
      <c r="A2" s="52" t="s">
        <v>209</v>
      </c>
      <c r="B2" s="52" t="s">
        <v>91</v>
      </c>
      <c r="C2" s="52" t="s">
        <v>92</v>
      </c>
      <c r="D2" s="52" t="s">
        <v>93</v>
      </c>
      <c r="E2" s="52" t="s">
        <v>88</v>
      </c>
      <c r="F2" s="53" t="s">
        <v>208</v>
      </c>
      <c r="G2" s="53" t="s">
        <v>206</v>
      </c>
      <c r="H2" s="23" t="s">
        <v>94</v>
      </c>
      <c r="I2" s="53" t="s">
        <v>95</v>
      </c>
      <c r="J2" s="193" t="s">
        <v>149</v>
      </c>
      <c r="K2" s="52" t="s">
        <v>117</v>
      </c>
      <c r="L2" s="52" t="s">
        <v>213</v>
      </c>
    </row>
    <row r="3" spans="1:22" s="2" customFormat="1" x14ac:dyDescent="0.3">
      <c r="A3" s="52"/>
      <c r="B3" s="52" t="s">
        <v>90</v>
      </c>
      <c r="C3" s="52" t="s">
        <v>69</v>
      </c>
      <c r="D3" s="52" t="s">
        <v>69</v>
      </c>
      <c r="E3" s="52" t="s">
        <v>89</v>
      </c>
      <c r="F3" s="52"/>
      <c r="G3" s="52"/>
      <c r="H3" s="52"/>
      <c r="I3" s="52" t="s">
        <v>133</v>
      </c>
      <c r="J3" s="52"/>
      <c r="K3" s="52" t="s">
        <v>214</v>
      </c>
      <c r="L3" s="52" t="s">
        <v>369</v>
      </c>
      <c r="N3" s="202" t="s">
        <v>222</v>
      </c>
      <c r="O3" s="203"/>
      <c r="P3" s="204"/>
      <c r="R3" s="202" t="s">
        <v>223</v>
      </c>
      <c r="S3" s="203"/>
      <c r="T3" s="204"/>
    </row>
    <row r="4" spans="1:22" s="2" customFormat="1" x14ac:dyDescent="0.3">
      <c r="A4" s="19" t="s">
        <v>210</v>
      </c>
      <c r="B4" s="19">
        <v>100</v>
      </c>
      <c r="C4" s="19">
        <v>6.11</v>
      </c>
      <c r="D4" s="19">
        <v>4.72</v>
      </c>
      <c r="E4" s="381">
        <v>40</v>
      </c>
      <c r="F4" s="19" t="s">
        <v>64</v>
      </c>
      <c r="G4" s="19" t="s">
        <v>207</v>
      </c>
      <c r="H4" s="194">
        <v>280</v>
      </c>
      <c r="I4" s="392">
        <f>L5/E4</f>
        <v>35.714285714285715</v>
      </c>
      <c r="J4" s="387">
        <v>0.98</v>
      </c>
      <c r="K4" s="387">
        <v>27</v>
      </c>
      <c r="L4" s="277">
        <f>I6/J4</f>
        <v>1428.5714285714287</v>
      </c>
      <c r="N4" s="205" t="s">
        <v>154</v>
      </c>
      <c r="P4" s="206"/>
      <c r="R4" s="205" t="s">
        <v>154</v>
      </c>
      <c r="T4" s="206"/>
    </row>
    <row r="5" spans="1:22" s="2" customFormat="1" x14ac:dyDescent="0.3">
      <c r="A5" s="118" t="s">
        <v>211</v>
      </c>
      <c r="B5" s="118">
        <v>100</v>
      </c>
      <c r="C5" s="118">
        <v>6.11</v>
      </c>
      <c r="D5" s="19">
        <v>4.72</v>
      </c>
      <c r="E5" s="382"/>
      <c r="F5" s="19" t="s">
        <v>64</v>
      </c>
      <c r="G5" s="19" t="s">
        <v>207</v>
      </c>
      <c r="H5" s="194">
        <v>280</v>
      </c>
      <c r="I5" s="392"/>
      <c r="J5" s="387"/>
      <c r="K5" s="387"/>
      <c r="L5" s="277">
        <f>L4</f>
        <v>1428.5714285714287</v>
      </c>
      <c r="N5" s="205"/>
      <c r="P5" s="206"/>
      <c r="R5" s="205"/>
      <c r="T5" s="206"/>
    </row>
    <row r="6" spans="1:22" x14ac:dyDescent="0.3">
      <c r="A6" s="119"/>
      <c r="B6" s="119"/>
      <c r="C6" s="120"/>
      <c r="I6">
        <f>'K1 katlad'!B2/2</f>
        <v>1400</v>
      </c>
      <c r="J6" t="s">
        <v>61</v>
      </c>
      <c r="K6" s="47" t="s">
        <v>199</v>
      </c>
      <c r="L6" s="278">
        <f>SUM(L4:L5)</f>
        <v>2857.1428571428573</v>
      </c>
      <c r="N6" s="207" t="s">
        <v>10</v>
      </c>
      <c r="O6" s="52" t="s">
        <v>179</v>
      </c>
      <c r="P6" s="62" t="s">
        <v>87</v>
      </c>
      <c r="R6" s="207" t="s">
        <v>10</v>
      </c>
      <c r="S6" s="52" t="s">
        <v>179</v>
      </c>
      <c r="T6" s="62" t="s">
        <v>87</v>
      </c>
      <c r="U6" s="2" t="s">
        <v>182</v>
      </c>
      <c r="V6" s="2" t="s">
        <v>183</v>
      </c>
    </row>
    <row r="7" spans="1:22" ht="15" thickBot="1" x14ac:dyDescent="0.35">
      <c r="I7">
        <f>'K1 katlad'!B2/2</f>
        <v>1400</v>
      </c>
      <c r="J7" t="s">
        <v>61</v>
      </c>
      <c r="N7" s="208" t="s">
        <v>155</v>
      </c>
      <c r="O7" s="15">
        <f>J39</f>
        <v>3.773863932083692</v>
      </c>
      <c r="P7" s="209">
        <f>U7/V7</f>
        <v>2.93522750273176E-2</v>
      </c>
      <c r="R7" s="208" t="s">
        <v>155</v>
      </c>
      <c r="S7" s="15">
        <f>O7</f>
        <v>3.773863932083692</v>
      </c>
      <c r="T7" s="209">
        <f>P7</f>
        <v>2.93522750273176E-2</v>
      </c>
      <c r="U7" s="89">
        <f>O7*1000</f>
        <v>3773.8639320836919</v>
      </c>
      <c r="V7" s="91">
        <f>$I$4*3600</f>
        <v>128571.42857142858</v>
      </c>
    </row>
    <row r="8" spans="1:22" x14ac:dyDescent="0.3">
      <c r="A8" s="56" t="s">
        <v>136</v>
      </c>
      <c r="B8" s="57"/>
      <c r="C8" s="57"/>
      <c r="D8" s="57"/>
      <c r="E8" s="57"/>
      <c r="F8" s="57"/>
      <c r="G8" s="57"/>
      <c r="H8" s="57"/>
      <c r="I8" s="57"/>
      <c r="J8" s="57"/>
      <c r="K8" s="57"/>
      <c r="L8" s="58"/>
      <c r="N8" s="208" t="s">
        <v>157</v>
      </c>
      <c r="O8" s="15">
        <f>K11/1000</f>
        <v>0.14285714285714285</v>
      </c>
      <c r="P8" s="209">
        <f>U8/V8</f>
        <v>1.1111111111111111E-3</v>
      </c>
      <c r="R8" s="208" t="s">
        <v>157</v>
      </c>
      <c r="S8" s="15">
        <f t="shared" ref="S8:S10" si="0">O8</f>
        <v>0.14285714285714285</v>
      </c>
      <c r="T8" s="209">
        <f t="shared" ref="T8:T10" si="1">P8</f>
        <v>1.1111111111111111E-3</v>
      </c>
      <c r="U8" s="89">
        <f>O8*1000</f>
        <v>142.85714285714286</v>
      </c>
      <c r="V8" s="91">
        <f>$I$4*3600</f>
        <v>128571.42857142858</v>
      </c>
    </row>
    <row r="9" spans="1:22" ht="15.6" x14ac:dyDescent="0.35">
      <c r="A9" s="59" t="s">
        <v>158</v>
      </c>
      <c r="L9" s="60"/>
      <c r="N9" s="208" t="s">
        <v>156</v>
      </c>
      <c r="O9" s="15">
        <f>L11/1000</f>
        <v>1.4285714285714287E-2</v>
      </c>
      <c r="P9" s="209">
        <f>U9/V9</f>
        <v>1.1111111111111112E-4</v>
      </c>
      <c r="R9" s="208" t="s">
        <v>156</v>
      </c>
      <c r="S9" s="15">
        <f t="shared" si="0"/>
        <v>1.4285714285714287E-2</v>
      </c>
      <c r="T9" s="209">
        <f t="shared" si="1"/>
        <v>1.1111111111111112E-4</v>
      </c>
      <c r="U9" s="89">
        <f>O9*1000</f>
        <v>14.285714285714286</v>
      </c>
      <c r="V9" s="91">
        <f>$I$4*3600</f>
        <v>128571.42857142858</v>
      </c>
    </row>
    <row r="10" spans="1:22" x14ac:dyDescent="0.3">
      <c r="A10" s="61"/>
      <c r="K10" s="52" t="s">
        <v>152</v>
      </c>
      <c r="L10" s="62" t="s">
        <v>151</v>
      </c>
      <c r="N10" s="208" t="s">
        <v>180</v>
      </c>
      <c r="O10" s="15">
        <f>E78</f>
        <v>0.11321591796251075</v>
      </c>
      <c r="P10" s="209">
        <f>U10/V10</f>
        <v>8.8056825081952799E-4</v>
      </c>
      <c r="R10" s="208" t="s">
        <v>180</v>
      </c>
      <c r="S10" s="15">
        <f t="shared" si="0"/>
        <v>0.11321591796251075</v>
      </c>
      <c r="T10" s="209">
        <f t="shared" si="1"/>
        <v>8.8056825081952799E-4</v>
      </c>
      <c r="U10" s="89">
        <f>O10*1000</f>
        <v>113.21591796251074</v>
      </c>
      <c r="V10" s="91">
        <f>$I$4*3600</f>
        <v>128571.42857142858</v>
      </c>
    </row>
    <row r="11" spans="1:22" x14ac:dyDescent="0.3">
      <c r="A11" s="61"/>
      <c r="K11" s="63">
        <f>J13*K15*J14*J16</f>
        <v>142.85714285714286</v>
      </c>
      <c r="L11" s="64">
        <f>J13*L15*J14*J16</f>
        <v>14.285714285714286</v>
      </c>
      <c r="N11" s="61"/>
      <c r="P11" s="60"/>
      <c r="R11" s="61"/>
      <c r="T11" s="60"/>
    </row>
    <row r="12" spans="1:22" x14ac:dyDescent="0.3">
      <c r="A12" s="61"/>
      <c r="L12" s="60"/>
      <c r="N12" s="61"/>
      <c r="P12" s="60"/>
      <c r="R12" s="61"/>
      <c r="T12" s="60"/>
    </row>
    <row r="13" spans="1:22" x14ac:dyDescent="0.3">
      <c r="A13" s="402" t="s">
        <v>124</v>
      </c>
      <c r="B13" s="403"/>
      <c r="C13" s="403"/>
      <c r="D13" s="403"/>
      <c r="E13" s="403"/>
      <c r="F13" s="403"/>
      <c r="G13" s="403"/>
      <c r="H13" s="403"/>
      <c r="I13" s="403"/>
      <c r="J13" s="1">
        <v>1E-3</v>
      </c>
      <c r="L13" s="60"/>
      <c r="N13" s="205" t="s">
        <v>178</v>
      </c>
      <c r="P13" s="60"/>
      <c r="R13" s="205" t="s">
        <v>178</v>
      </c>
      <c r="T13" s="60"/>
    </row>
    <row r="14" spans="1:22" ht="16.2" x14ac:dyDescent="0.3">
      <c r="A14" s="402" t="s">
        <v>159</v>
      </c>
      <c r="B14" s="403"/>
      <c r="C14" s="403"/>
      <c r="D14" s="403"/>
      <c r="E14" s="403"/>
      <c r="F14" s="403"/>
      <c r="G14" s="403"/>
      <c r="H14" s="403"/>
      <c r="I14" s="403"/>
      <c r="J14" s="65">
        <f>L5</f>
        <v>1428.5714285714287</v>
      </c>
      <c r="K14" s="19" t="s">
        <v>120</v>
      </c>
      <c r="L14" s="66" t="s">
        <v>150</v>
      </c>
      <c r="N14" s="207" t="s">
        <v>10</v>
      </c>
      <c r="O14" s="52" t="s">
        <v>179</v>
      </c>
      <c r="P14" s="62" t="s">
        <v>87</v>
      </c>
      <c r="R14" s="207" t="s">
        <v>10</v>
      </c>
      <c r="S14" s="52" t="s">
        <v>179</v>
      </c>
      <c r="T14" s="62" t="s">
        <v>87</v>
      </c>
      <c r="U14" s="2" t="s">
        <v>182</v>
      </c>
      <c r="V14" s="2" t="s">
        <v>181</v>
      </c>
    </row>
    <row r="15" spans="1:22" ht="16.2" x14ac:dyDescent="0.3">
      <c r="A15" s="406" t="s">
        <v>160</v>
      </c>
      <c r="B15" s="407"/>
      <c r="C15" s="407"/>
      <c r="D15" s="407"/>
      <c r="E15" s="407"/>
      <c r="F15" s="407"/>
      <c r="G15" s="407"/>
      <c r="H15" s="407"/>
      <c r="I15" s="407"/>
      <c r="J15" s="408"/>
      <c r="K15" s="54">
        <v>100</v>
      </c>
      <c r="L15" s="67">
        <v>10</v>
      </c>
      <c r="N15" s="208" t="s">
        <v>155</v>
      </c>
      <c r="O15" s="15">
        <f>J48</f>
        <v>0.88547267933635598</v>
      </c>
      <c r="P15" s="210">
        <f>U15/V15</f>
        <v>2.8058936019733948E-5</v>
      </c>
      <c r="R15" s="208" t="s">
        <v>155</v>
      </c>
      <c r="S15" s="15">
        <f>O15</f>
        <v>0.88547267933635598</v>
      </c>
      <c r="T15" s="210">
        <f>P15</f>
        <v>2.8058936019733948E-5</v>
      </c>
      <c r="U15" s="46">
        <f>O15*1000</f>
        <v>885.47267933635601</v>
      </c>
      <c r="V15">
        <v>31557600</v>
      </c>
    </row>
    <row r="16" spans="1:22" ht="15" thickBot="1" x14ac:dyDescent="0.35">
      <c r="A16" s="404" t="s">
        <v>148</v>
      </c>
      <c r="B16" s="405"/>
      <c r="C16" s="405"/>
      <c r="D16" s="405"/>
      <c r="E16" s="405"/>
      <c r="F16" s="405"/>
      <c r="G16" s="405"/>
      <c r="H16" s="405"/>
      <c r="I16" s="405"/>
      <c r="J16" s="68">
        <v>1</v>
      </c>
      <c r="K16" s="69"/>
      <c r="L16" s="70"/>
      <c r="N16" s="208" t="s">
        <v>157</v>
      </c>
      <c r="O16" s="15">
        <f>K22/1000</f>
        <v>3.3541785705375977E-2</v>
      </c>
      <c r="P16" s="210">
        <f>U16/V16</f>
        <v>1.0628750508712951E-6</v>
      </c>
      <c r="R16" s="208" t="s">
        <v>157</v>
      </c>
      <c r="S16" s="15">
        <f>K22/1000</f>
        <v>3.3541785705375977E-2</v>
      </c>
      <c r="T16" s="210">
        <f>P16</f>
        <v>1.0628750508712951E-6</v>
      </c>
      <c r="U16" s="46">
        <f>O16*1000</f>
        <v>33.541785705375979</v>
      </c>
      <c r="V16">
        <v>31557600</v>
      </c>
    </row>
    <row r="17" spans="1:22" ht="15" thickBot="1" x14ac:dyDescent="0.35">
      <c r="N17" s="208" t="s">
        <v>156</v>
      </c>
      <c r="O17" s="15">
        <f>L22/1000</f>
        <v>3.3541785705375974E-3</v>
      </c>
      <c r="P17" s="210">
        <f>U17/V17</f>
        <v>1.0628750508712948E-7</v>
      </c>
      <c r="R17" s="208" t="s">
        <v>156</v>
      </c>
      <c r="S17" s="15">
        <f>L22/1000</f>
        <v>3.3541785705375974E-3</v>
      </c>
      <c r="T17" s="210">
        <f>P17</f>
        <v>1.0628750508712948E-7</v>
      </c>
      <c r="U17" s="46">
        <f>O17*1000</f>
        <v>3.3541785705375973</v>
      </c>
      <c r="V17">
        <v>31557600</v>
      </c>
    </row>
    <row r="18" spans="1:22" x14ac:dyDescent="0.3">
      <c r="A18" s="56" t="s">
        <v>135</v>
      </c>
      <c r="B18" s="57"/>
      <c r="C18" s="57"/>
      <c r="D18" s="57"/>
      <c r="E18" s="57"/>
      <c r="F18" s="57"/>
      <c r="G18" s="57"/>
      <c r="H18" s="57"/>
      <c r="I18" s="57"/>
      <c r="J18" s="57"/>
      <c r="K18" s="57"/>
      <c r="L18" s="58"/>
      <c r="N18" s="208" t="s">
        <v>180</v>
      </c>
      <c r="O18" s="15">
        <f>F78</f>
        <v>2.6564180380090677E-2</v>
      </c>
      <c r="P18" s="210">
        <f>U18/V18</f>
        <v>8.417680805920183E-7</v>
      </c>
      <c r="R18" s="208" t="s">
        <v>180</v>
      </c>
      <c r="S18" s="15">
        <f>F78</f>
        <v>2.6564180380090677E-2</v>
      </c>
      <c r="T18" s="210">
        <f t="shared" ref="T18" si="2">P18</f>
        <v>8.417680805920183E-7</v>
      </c>
      <c r="U18" s="46">
        <f>O18*1000</f>
        <v>26.564180380090676</v>
      </c>
      <c r="V18">
        <v>31557600</v>
      </c>
    </row>
    <row r="19" spans="1:22" x14ac:dyDescent="0.3">
      <c r="A19" s="59" t="s">
        <v>125</v>
      </c>
      <c r="L19" s="60"/>
      <c r="N19" s="211"/>
      <c r="P19" s="60"/>
      <c r="R19" s="211"/>
      <c r="T19" s="60"/>
    </row>
    <row r="20" spans="1:22" x14ac:dyDescent="0.3">
      <c r="A20" s="61"/>
      <c r="L20" s="60"/>
      <c r="N20" s="205" t="s">
        <v>63</v>
      </c>
      <c r="P20" s="60"/>
      <c r="R20" s="205" t="s">
        <v>63</v>
      </c>
      <c r="T20" s="60"/>
      <c r="V20" s="90"/>
    </row>
    <row r="21" spans="1:22" x14ac:dyDescent="0.3">
      <c r="A21" s="61"/>
      <c r="K21" s="52" t="s">
        <v>152</v>
      </c>
      <c r="L21" s="62" t="s">
        <v>151</v>
      </c>
      <c r="N21" s="207" t="s">
        <v>10</v>
      </c>
      <c r="O21" s="52" t="s">
        <v>179</v>
      </c>
      <c r="P21" s="62" t="s">
        <v>87</v>
      </c>
      <c r="R21" s="207" t="s">
        <v>10</v>
      </c>
      <c r="S21" s="52" t="s">
        <v>179</v>
      </c>
      <c r="T21" s="62" t="s">
        <v>87</v>
      </c>
    </row>
    <row r="22" spans="1:22" x14ac:dyDescent="0.3">
      <c r="A22" s="61"/>
      <c r="K22" s="87">
        <f>J23*J24*J25*K26*J27*J28</f>
        <v>33.541785705375979</v>
      </c>
      <c r="L22" s="88">
        <f>J23*J24*J25*L26*J27*J28</f>
        <v>3.3541785705375973</v>
      </c>
      <c r="N22" s="208" t="s">
        <v>155</v>
      </c>
      <c r="O22" s="16">
        <f>O15+O7</f>
        <v>4.6593366114200476</v>
      </c>
      <c r="P22" s="236">
        <f>P7+P15</f>
        <v>2.9380333963337335E-2</v>
      </c>
      <c r="R22" s="208" t="s">
        <v>155</v>
      </c>
      <c r="S22" s="16">
        <f>S15+S7</f>
        <v>4.6593366114200476</v>
      </c>
      <c r="T22" s="236">
        <f>T7+T15</f>
        <v>2.9380333963337335E-2</v>
      </c>
    </row>
    <row r="23" spans="1:22" x14ac:dyDescent="0.3">
      <c r="A23" s="393" t="s">
        <v>124</v>
      </c>
      <c r="B23" s="394"/>
      <c r="C23" s="394"/>
      <c r="D23" s="394"/>
      <c r="E23" s="394"/>
      <c r="F23" s="394"/>
      <c r="G23" s="394"/>
      <c r="H23" s="394"/>
      <c r="I23" s="395"/>
      <c r="J23" s="71">
        <v>1E-3</v>
      </c>
      <c r="L23" s="60"/>
      <c r="N23" s="208" t="s">
        <v>157</v>
      </c>
      <c r="O23" s="16">
        <f>O8+O16</f>
        <v>0.17639892856251882</v>
      </c>
      <c r="P23" s="236">
        <f t="shared" ref="P23:P25" si="3">P8+P16</f>
        <v>1.1121739861619823E-3</v>
      </c>
      <c r="R23" s="208" t="s">
        <v>157</v>
      </c>
      <c r="S23" s="16">
        <f>S8+S16</f>
        <v>0.17639892856251882</v>
      </c>
      <c r="T23" s="236">
        <f t="shared" ref="T23:T25" si="4">T8+T16</f>
        <v>1.1121739861619823E-3</v>
      </c>
    </row>
    <row r="24" spans="1:22" x14ac:dyDescent="0.3">
      <c r="A24" s="393" t="s">
        <v>126</v>
      </c>
      <c r="B24" s="394"/>
      <c r="C24" s="394"/>
      <c r="D24" s="394"/>
      <c r="E24" s="394"/>
      <c r="F24" s="394"/>
      <c r="G24" s="394"/>
      <c r="H24" s="394"/>
      <c r="I24" s="395"/>
      <c r="J24" s="73">
        <v>365</v>
      </c>
      <c r="L24" s="60"/>
      <c r="N24" s="208" t="s">
        <v>156</v>
      </c>
      <c r="O24" s="16">
        <f>O9+O17</f>
        <v>1.7639892856251886E-2</v>
      </c>
      <c r="P24" s="236">
        <f t="shared" si="3"/>
        <v>1.1121739861619825E-4</v>
      </c>
      <c r="R24" s="208" t="s">
        <v>156</v>
      </c>
      <c r="S24" s="16">
        <f>S9+S17</f>
        <v>1.7639892856251886E-2</v>
      </c>
      <c r="T24" s="236">
        <f t="shared" si="4"/>
        <v>1.1121739861619825E-4</v>
      </c>
    </row>
    <row r="25" spans="1:22" ht="17.399999999999999" thickBot="1" x14ac:dyDescent="0.4">
      <c r="A25" s="393" t="s">
        <v>161</v>
      </c>
      <c r="B25" s="394"/>
      <c r="C25" s="394"/>
      <c r="D25" s="394"/>
      <c r="E25" s="394"/>
      <c r="F25" s="394"/>
      <c r="G25" s="394"/>
      <c r="H25" s="394"/>
      <c r="I25" s="395"/>
      <c r="J25" s="16">
        <f>J31</f>
        <v>21.371000767999988</v>
      </c>
      <c r="L25" s="60"/>
      <c r="N25" s="212" t="s">
        <v>180</v>
      </c>
      <c r="O25" s="237">
        <f>O10+O18</f>
        <v>0.13978009834260144</v>
      </c>
      <c r="P25" s="238">
        <f t="shared" si="3"/>
        <v>8.8141001890011997E-4</v>
      </c>
      <c r="R25" s="212" t="s">
        <v>180</v>
      </c>
      <c r="S25" s="237">
        <f>S10+S18</f>
        <v>0.13978009834260144</v>
      </c>
      <c r="T25" s="238">
        <f t="shared" si="4"/>
        <v>8.8141001890011997E-4</v>
      </c>
    </row>
    <row r="26" spans="1:22" ht="16.8" x14ac:dyDescent="0.35">
      <c r="A26" s="393" t="s">
        <v>162</v>
      </c>
      <c r="B26" s="394"/>
      <c r="C26" s="394"/>
      <c r="D26" s="394"/>
      <c r="E26" s="394"/>
      <c r="F26" s="394"/>
      <c r="G26" s="394"/>
      <c r="H26" s="394"/>
      <c r="I26" s="394"/>
      <c r="J26" s="395"/>
      <c r="K26" s="71">
        <f>K15</f>
        <v>100</v>
      </c>
      <c r="L26" s="72">
        <f>L15</f>
        <v>10</v>
      </c>
    </row>
    <row r="27" spans="1:22" ht="16.2" thickBot="1" x14ac:dyDescent="0.4">
      <c r="A27" s="393" t="s">
        <v>163</v>
      </c>
      <c r="B27" s="394"/>
      <c r="C27" s="394"/>
      <c r="D27" s="394"/>
      <c r="E27" s="394"/>
      <c r="F27" s="394"/>
      <c r="G27" s="394"/>
      <c r="H27" s="394"/>
      <c r="I27" s="395"/>
      <c r="J27" s="73">
        <v>4.2999999999999997E-2</v>
      </c>
      <c r="L27" s="60"/>
      <c r="N27" s="122"/>
      <c r="O27" s="2" t="s">
        <v>330</v>
      </c>
      <c r="P27" s="2"/>
    </row>
    <row r="28" spans="1:22" x14ac:dyDescent="0.3">
      <c r="A28" s="393" t="s">
        <v>147</v>
      </c>
      <c r="B28" s="394"/>
      <c r="C28" s="394"/>
      <c r="D28" s="394"/>
      <c r="E28" s="394"/>
      <c r="F28" s="394"/>
      <c r="G28" s="394"/>
      <c r="H28" s="394"/>
      <c r="I28" s="395"/>
      <c r="J28" s="1">
        <v>1</v>
      </c>
      <c r="L28" s="60"/>
      <c r="N28" s="55"/>
      <c r="O28" s="214" t="s">
        <v>63</v>
      </c>
      <c r="P28" s="57"/>
      <c r="Q28" s="58"/>
    </row>
    <row r="29" spans="1:22" x14ac:dyDescent="0.3">
      <c r="A29" s="74"/>
      <c r="B29" s="75"/>
      <c r="C29" s="75"/>
      <c r="D29" s="75"/>
      <c r="E29" s="75"/>
      <c r="F29" s="75"/>
      <c r="G29" s="75"/>
      <c r="H29" s="75"/>
      <c r="I29" s="75"/>
      <c r="J29" s="75"/>
      <c r="L29" s="60"/>
      <c r="N29" s="55"/>
      <c r="O29" s="207" t="s">
        <v>10</v>
      </c>
      <c r="P29" s="52" t="s">
        <v>87</v>
      </c>
      <c r="Q29" s="62" t="s">
        <v>61</v>
      </c>
    </row>
    <row r="30" spans="1:22" ht="15.6" x14ac:dyDescent="0.35">
      <c r="A30" s="399" t="s">
        <v>164</v>
      </c>
      <c r="B30" s="400"/>
      <c r="C30" s="400"/>
      <c r="D30" s="400"/>
      <c r="E30" s="400"/>
      <c r="F30" s="400"/>
      <c r="G30" s="400"/>
      <c r="H30" s="400"/>
      <c r="I30" s="400"/>
      <c r="J30" s="401"/>
      <c r="L30" s="60"/>
      <c r="N30" s="55"/>
      <c r="O30" s="208" t="s">
        <v>155</v>
      </c>
      <c r="P30" s="15">
        <f>P22+T22</f>
        <v>5.876066792667467E-2</v>
      </c>
      <c r="Q30" s="236">
        <f>(O22+S22)/1000</f>
        <v>9.3186732228400949E-3</v>
      </c>
      <c r="R30" s="89"/>
    </row>
    <row r="31" spans="1:22" ht="16.8" x14ac:dyDescent="0.35">
      <c r="A31" s="399" t="s">
        <v>165</v>
      </c>
      <c r="B31" s="400"/>
      <c r="C31" s="400"/>
      <c r="D31" s="400"/>
      <c r="E31" s="400"/>
      <c r="F31" s="400"/>
      <c r="G31" s="400"/>
      <c r="H31" s="400"/>
      <c r="I31" s="401"/>
      <c r="J31" s="16">
        <f>3.14*(J32*J32)*(J33-(J33*J34))/4</f>
        <v>21.371000767999988</v>
      </c>
      <c r="L31" s="60"/>
      <c r="N31" s="55"/>
      <c r="O31" s="208" t="s">
        <v>157</v>
      </c>
      <c r="P31" s="15">
        <f>P23+T23</f>
        <v>2.2243479723239646E-3</v>
      </c>
      <c r="Q31" s="236">
        <f t="shared" ref="Q31:Q33" si="5">(O23+S23)/1000</f>
        <v>3.5279785712503763E-4</v>
      </c>
      <c r="R31" s="89"/>
    </row>
    <row r="32" spans="1:22" x14ac:dyDescent="0.3">
      <c r="A32" s="393" t="s">
        <v>127</v>
      </c>
      <c r="B32" s="394"/>
      <c r="C32" s="394"/>
      <c r="D32" s="394"/>
      <c r="E32" s="394"/>
      <c r="F32" s="394"/>
      <c r="G32" s="394"/>
      <c r="H32" s="394"/>
      <c r="I32" s="395"/>
      <c r="J32" s="116">
        <f>D4</f>
        <v>4.72</v>
      </c>
      <c r="L32" s="60"/>
      <c r="O32" s="208" t="s">
        <v>156</v>
      </c>
      <c r="P32" s="15">
        <f>P24+T24</f>
        <v>2.224347972323965E-4</v>
      </c>
      <c r="Q32" s="236">
        <f t="shared" si="5"/>
        <v>3.5279785712503772E-5</v>
      </c>
      <c r="R32" s="89"/>
    </row>
    <row r="33" spans="1:21" ht="16.2" thickBot="1" x14ac:dyDescent="0.4">
      <c r="A33" s="393" t="s">
        <v>166</v>
      </c>
      <c r="B33" s="394"/>
      <c r="C33" s="394"/>
      <c r="D33" s="394"/>
      <c r="E33" s="394"/>
      <c r="F33" s="394"/>
      <c r="G33" s="394"/>
      <c r="H33" s="394"/>
      <c r="I33" s="395"/>
      <c r="J33" s="116">
        <f>C5</f>
        <v>6.11</v>
      </c>
      <c r="L33" s="60"/>
      <c r="N33" s="122"/>
      <c r="O33" s="212" t="s">
        <v>180</v>
      </c>
      <c r="P33" s="213">
        <f>P25+T25</f>
        <v>1.7628200378002399E-3</v>
      </c>
      <c r="Q33" s="238">
        <f t="shared" si="5"/>
        <v>2.7956019668520289E-4</v>
      </c>
      <c r="R33" s="89"/>
    </row>
    <row r="34" spans="1:21" ht="15" thickBot="1" x14ac:dyDescent="0.35">
      <c r="A34" s="396" t="s">
        <v>128</v>
      </c>
      <c r="B34" s="397"/>
      <c r="C34" s="397"/>
      <c r="D34" s="397"/>
      <c r="E34" s="397"/>
      <c r="F34" s="397"/>
      <c r="G34" s="397"/>
      <c r="H34" s="397"/>
      <c r="I34" s="398"/>
      <c r="J34" s="106">
        <v>0.8</v>
      </c>
      <c r="K34" s="76"/>
      <c r="L34" s="77"/>
      <c r="N34" s="55"/>
      <c r="O34" s="46"/>
      <c r="P34" s="46"/>
    </row>
    <row r="35" spans="1:21" ht="15" thickBot="1" x14ac:dyDescent="0.35">
      <c r="N35" s="55"/>
      <c r="O35" s="46"/>
      <c r="P35" s="46"/>
    </row>
    <row r="36" spans="1:21" ht="15" thickBot="1" x14ac:dyDescent="0.35">
      <c r="A36" s="56" t="s">
        <v>132</v>
      </c>
      <c r="B36" s="57"/>
      <c r="C36" s="57"/>
      <c r="D36" s="57"/>
      <c r="E36" s="57"/>
      <c r="F36" s="57"/>
      <c r="G36" s="57"/>
      <c r="H36" s="57"/>
      <c r="I36" s="57"/>
      <c r="J36" s="57"/>
      <c r="K36" s="57"/>
      <c r="L36" s="58"/>
      <c r="N36" s="55"/>
      <c r="O36" s="2" t="s">
        <v>210</v>
      </c>
      <c r="P36" s="2"/>
      <c r="S36" t="s">
        <v>211</v>
      </c>
    </row>
    <row r="37" spans="1:21" x14ac:dyDescent="0.3">
      <c r="A37" s="59" t="s">
        <v>167</v>
      </c>
      <c r="L37" s="60"/>
      <c r="N37" s="55"/>
      <c r="O37" s="214" t="s">
        <v>63</v>
      </c>
      <c r="P37" s="57"/>
      <c r="Q37" s="58"/>
      <c r="S37" s="214" t="s">
        <v>63</v>
      </c>
      <c r="T37" s="57"/>
      <c r="U37" s="58"/>
    </row>
    <row r="38" spans="1:21" ht="15" thickBot="1" x14ac:dyDescent="0.35">
      <c r="A38" s="61"/>
      <c r="L38" s="60"/>
      <c r="O38" s="207" t="s">
        <v>10</v>
      </c>
      <c r="P38" s="52" t="s">
        <v>87</v>
      </c>
      <c r="Q38" s="62" t="s">
        <v>61</v>
      </c>
      <c r="S38" s="207" t="s">
        <v>10</v>
      </c>
      <c r="T38" s="52" t="s">
        <v>87</v>
      </c>
      <c r="U38" s="62" t="s">
        <v>61</v>
      </c>
    </row>
    <row r="39" spans="1:21" ht="15" thickBot="1" x14ac:dyDescent="0.35">
      <c r="A39" s="61"/>
      <c r="B39" s="82" t="s">
        <v>129</v>
      </c>
      <c r="J39" s="121">
        <f>J41*J42*1</f>
        <v>3.773863932083692</v>
      </c>
      <c r="L39" s="60"/>
      <c r="O39" s="208" t="s">
        <v>155</v>
      </c>
      <c r="P39" s="16">
        <f>P22</f>
        <v>2.9380333963337335E-2</v>
      </c>
      <c r="Q39" s="236">
        <f>(O22)/1000</f>
        <v>4.6593366114200474E-3</v>
      </c>
      <c r="S39" s="208" t="s">
        <v>155</v>
      </c>
      <c r="T39" s="16">
        <f>T22</f>
        <v>2.9380333963337335E-2</v>
      </c>
      <c r="U39" s="236">
        <f>S22/1000</f>
        <v>4.6593366114200474E-3</v>
      </c>
    </row>
    <row r="40" spans="1:21" x14ac:dyDescent="0.3">
      <c r="A40" s="61"/>
      <c r="L40" s="60"/>
      <c r="O40" s="208" t="s">
        <v>157</v>
      </c>
      <c r="P40" s="16">
        <f t="shared" ref="P40:P42" si="6">P23</f>
        <v>1.1121739861619823E-3</v>
      </c>
      <c r="Q40" s="236">
        <f t="shared" ref="Q40:Q42" si="7">(O23)/1000</f>
        <v>1.7639892856251881E-4</v>
      </c>
      <c r="S40" s="208" t="s">
        <v>157</v>
      </c>
      <c r="T40" s="16">
        <f t="shared" ref="T40:T42" si="8">T23</f>
        <v>1.1121739861619823E-3</v>
      </c>
      <c r="U40" s="236">
        <f t="shared" ref="U40:U42" si="9">(S32+W32)/1000</f>
        <v>0</v>
      </c>
    </row>
    <row r="41" spans="1:21" ht="16.2" x14ac:dyDescent="0.3">
      <c r="A41" s="393" t="s">
        <v>159</v>
      </c>
      <c r="B41" s="394"/>
      <c r="C41" s="394"/>
      <c r="D41" s="394"/>
      <c r="E41" s="394"/>
      <c r="F41" s="394"/>
      <c r="G41" s="394"/>
      <c r="H41" s="394"/>
      <c r="I41" s="395"/>
      <c r="J41" s="65">
        <f>J14</f>
        <v>1428.5714285714287</v>
      </c>
      <c r="L41" s="60"/>
      <c r="O41" s="208" t="s">
        <v>156</v>
      </c>
      <c r="P41" s="16">
        <f t="shared" si="6"/>
        <v>1.1121739861619825E-4</v>
      </c>
      <c r="Q41" s="236">
        <f t="shared" si="7"/>
        <v>1.7639892856251886E-5</v>
      </c>
      <c r="S41" s="208" t="s">
        <v>156</v>
      </c>
      <c r="T41" s="16">
        <f t="shared" si="8"/>
        <v>1.1121739861619825E-4</v>
      </c>
      <c r="U41" s="236">
        <f t="shared" si="9"/>
        <v>0</v>
      </c>
    </row>
    <row r="42" spans="1:21" ht="17.399999999999999" thickBot="1" x14ac:dyDescent="0.4">
      <c r="A42" s="393" t="s">
        <v>168</v>
      </c>
      <c r="B42" s="394"/>
      <c r="C42" s="394"/>
      <c r="D42" s="394"/>
      <c r="E42" s="394"/>
      <c r="F42" s="394"/>
      <c r="G42" s="394"/>
      <c r="H42" s="394"/>
      <c r="I42" s="395"/>
      <c r="J42" s="16">
        <f>J59</f>
        <v>2.6417047524585841E-3</v>
      </c>
      <c r="L42" s="60"/>
      <c r="O42" s="212" t="s">
        <v>180</v>
      </c>
      <c r="P42" s="237">
        <f t="shared" si="6"/>
        <v>8.8141001890011997E-4</v>
      </c>
      <c r="Q42" s="238">
        <f t="shared" si="7"/>
        <v>1.3978009834260144E-4</v>
      </c>
      <c r="S42" s="212" t="s">
        <v>180</v>
      </c>
      <c r="T42" s="237">
        <f t="shared" si="8"/>
        <v>8.8141001890011997E-4</v>
      </c>
      <c r="U42" s="238">
        <f t="shared" si="9"/>
        <v>0</v>
      </c>
    </row>
    <row r="43" spans="1:21" ht="15" thickBot="1" x14ac:dyDescent="0.35">
      <c r="A43" s="423" t="s">
        <v>153</v>
      </c>
      <c r="B43" s="424"/>
      <c r="C43" s="424"/>
      <c r="D43" s="424"/>
      <c r="E43" s="424"/>
      <c r="F43" s="424"/>
      <c r="G43" s="424"/>
      <c r="H43" s="424"/>
      <c r="I43" s="425"/>
      <c r="J43" s="68">
        <v>1</v>
      </c>
      <c r="K43" s="76"/>
      <c r="L43" s="77"/>
    </row>
    <row r="44" spans="1:21" ht="15" thickBot="1" x14ac:dyDescent="0.35"/>
    <row r="45" spans="1:21" x14ac:dyDescent="0.3">
      <c r="A45" s="56" t="s">
        <v>134</v>
      </c>
      <c r="B45" s="57"/>
      <c r="C45" s="57"/>
      <c r="D45" s="57"/>
      <c r="E45" s="57"/>
      <c r="F45" s="57"/>
      <c r="G45" s="57"/>
      <c r="H45" s="57"/>
      <c r="I45" s="57"/>
      <c r="J45" s="57"/>
      <c r="K45" s="57"/>
      <c r="L45" s="58"/>
    </row>
    <row r="46" spans="1:21" ht="15.6" x14ac:dyDescent="0.35">
      <c r="A46" s="59" t="s">
        <v>169</v>
      </c>
      <c r="L46" s="60"/>
    </row>
    <row r="47" spans="1:21" ht="15" thickBot="1" x14ac:dyDescent="0.35">
      <c r="A47" s="61"/>
      <c r="L47" s="60"/>
    </row>
    <row r="48" spans="1:21" ht="15" thickBot="1" x14ac:dyDescent="0.35">
      <c r="A48" s="61"/>
      <c r="J48" s="79">
        <f>J50*J51*J52*J53*J54*J55</f>
        <v>0.88547267933635598</v>
      </c>
      <c r="L48" s="60"/>
    </row>
    <row r="49" spans="1:12" x14ac:dyDescent="0.3">
      <c r="A49" s="61"/>
      <c r="L49" s="60"/>
    </row>
    <row r="50" spans="1:12" x14ac:dyDescent="0.3">
      <c r="A50" s="429" t="s">
        <v>126</v>
      </c>
      <c r="B50" s="430"/>
      <c r="C50" s="430"/>
      <c r="D50" s="430"/>
      <c r="E50" s="430"/>
      <c r="F50" s="430"/>
      <c r="G50" s="430"/>
      <c r="H50" s="430"/>
      <c r="I50" s="431"/>
      <c r="J50" s="73">
        <v>365</v>
      </c>
      <c r="L50" s="60"/>
    </row>
    <row r="51" spans="1:12" ht="16.2" x14ac:dyDescent="0.3">
      <c r="A51" s="429" t="s">
        <v>170</v>
      </c>
      <c r="B51" s="430"/>
      <c r="C51" s="430"/>
      <c r="D51" s="430"/>
      <c r="E51" s="430"/>
      <c r="F51" s="430"/>
      <c r="G51" s="430"/>
      <c r="H51" s="430"/>
      <c r="I51" s="431"/>
      <c r="J51" s="16">
        <f>J31</f>
        <v>21.371000767999988</v>
      </c>
      <c r="L51" s="60"/>
    </row>
    <row r="52" spans="1:12" ht="16.2" x14ac:dyDescent="0.3">
      <c r="A52" s="429" t="s">
        <v>171</v>
      </c>
      <c r="B52" s="430"/>
      <c r="C52" s="430"/>
      <c r="D52" s="430"/>
      <c r="E52" s="430"/>
      <c r="F52" s="430"/>
      <c r="G52" s="430"/>
      <c r="H52" s="430"/>
      <c r="I52" s="431"/>
      <c r="J52" s="16">
        <f>J59</f>
        <v>2.6417047524585841E-3</v>
      </c>
      <c r="L52" s="60"/>
    </row>
    <row r="53" spans="1:12" ht="15.6" x14ac:dyDescent="0.3">
      <c r="A53" s="429" t="s">
        <v>163</v>
      </c>
      <c r="B53" s="430"/>
      <c r="C53" s="430"/>
      <c r="D53" s="430"/>
      <c r="E53" s="430"/>
      <c r="F53" s="430"/>
      <c r="G53" s="430"/>
      <c r="H53" s="430"/>
      <c r="I53" s="431"/>
      <c r="J53" s="1">
        <f>J27</f>
        <v>4.2999999999999997E-2</v>
      </c>
      <c r="L53" s="60"/>
    </row>
    <row r="54" spans="1:12" ht="15.6" x14ac:dyDescent="0.3">
      <c r="A54" s="429" t="s">
        <v>172</v>
      </c>
      <c r="B54" s="430"/>
      <c r="C54" s="430"/>
      <c r="D54" s="430"/>
      <c r="E54" s="430"/>
      <c r="F54" s="430"/>
      <c r="G54" s="430"/>
      <c r="H54" s="430"/>
      <c r="I54" s="431"/>
      <c r="J54" s="16">
        <f>J66</f>
        <v>0.99932029711025205</v>
      </c>
      <c r="L54" s="60"/>
    </row>
    <row r="55" spans="1:12" x14ac:dyDescent="0.3">
      <c r="A55" s="429" t="s">
        <v>139</v>
      </c>
      <c r="B55" s="430"/>
      <c r="C55" s="430"/>
      <c r="D55" s="430"/>
      <c r="E55" s="430"/>
      <c r="F55" s="430"/>
      <c r="G55" s="430"/>
      <c r="H55" s="430"/>
      <c r="I55" s="431"/>
      <c r="J55" s="1">
        <v>1</v>
      </c>
      <c r="L55" s="60"/>
    </row>
    <row r="56" spans="1:12" x14ac:dyDescent="0.3">
      <c r="A56" s="59"/>
      <c r="L56" s="60"/>
    </row>
    <row r="57" spans="1:12" ht="15" x14ac:dyDescent="0.35">
      <c r="A57" s="412" t="s">
        <v>173</v>
      </c>
      <c r="B57" s="415"/>
      <c r="C57" s="415"/>
      <c r="D57" s="415"/>
      <c r="E57" s="415"/>
      <c r="F57" s="415"/>
      <c r="G57" s="415"/>
      <c r="H57" s="415"/>
      <c r="I57" s="415"/>
      <c r="J57" s="416"/>
      <c r="L57" s="60"/>
    </row>
    <row r="58" spans="1:12" ht="15" thickBot="1" x14ac:dyDescent="0.35">
      <c r="A58" s="59"/>
      <c r="L58" s="60"/>
    </row>
    <row r="59" spans="1:12" ht="15" thickBot="1" x14ac:dyDescent="0.35">
      <c r="A59" s="61"/>
      <c r="J59" s="78">
        <f>(J61*J62)/(J63*J64)</f>
        <v>2.6417047524585841E-3</v>
      </c>
      <c r="L59" s="60"/>
    </row>
    <row r="60" spans="1:12" x14ac:dyDescent="0.3">
      <c r="A60" s="61"/>
      <c r="L60" s="60"/>
    </row>
    <row r="61" spans="1:12" x14ac:dyDescent="0.3">
      <c r="A61" s="393" t="s">
        <v>130</v>
      </c>
      <c r="B61" s="394"/>
      <c r="C61" s="394"/>
      <c r="D61" s="394"/>
      <c r="E61" s="394"/>
      <c r="F61" s="394"/>
      <c r="G61" s="394"/>
      <c r="H61" s="394"/>
      <c r="I61" s="395"/>
      <c r="J61" s="1">
        <f>H4</f>
        <v>280</v>
      </c>
      <c r="L61" s="60"/>
    </row>
    <row r="62" spans="1:12" x14ac:dyDescent="0.3">
      <c r="A62" s="83" t="s">
        <v>131</v>
      </c>
      <c r="B62" s="1"/>
      <c r="C62" s="1"/>
      <c r="D62" s="1"/>
      <c r="E62" s="1"/>
      <c r="F62" s="1"/>
      <c r="G62" s="1"/>
      <c r="H62" s="1"/>
      <c r="I62" s="1"/>
      <c r="J62" s="73">
        <v>2.1999999999999999E-2</v>
      </c>
      <c r="L62" s="60"/>
    </row>
    <row r="63" spans="1:12" ht="16.2" x14ac:dyDescent="0.3">
      <c r="A63" s="393" t="s">
        <v>174</v>
      </c>
      <c r="B63" s="394"/>
      <c r="C63" s="394"/>
      <c r="D63" s="394"/>
      <c r="E63" s="394"/>
      <c r="F63" s="394"/>
      <c r="G63" s="394"/>
      <c r="H63" s="394"/>
      <c r="I63" s="395"/>
      <c r="J63" s="1">
        <v>8.3140000000000001</v>
      </c>
      <c r="L63" s="60"/>
    </row>
    <row r="64" spans="1:12" ht="15.6" x14ac:dyDescent="0.35">
      <c r="A64" s="393" t="s">
        <v>175</v>
      </c>
      <c r="B64" s="394"/>
      <c r="C64" s="394"/>
      <c r="D64" s="394"/>
      <c r="E64" s="394"/>
      <c r="F64" s="394"/>
      <c r="G64" s="394"/>
      <c r="H64" s="394"/>
      <c r="I64" s="395"/>
      <c r="J64" s="73">
        <v>280.47000000000003</v>
      </c>
      <c r="L64" s="60"/>
    </row>
    <row r="65" spans="1:16" ht="16.2" thickBot="1" x14ac:dyDescent="0.4">
      <c r="A65" s="412" t="s">
        <v>176</v>
      </c>
      <c r="B65" s="413"/>
      <c r="C65" s="413"/>
      <c r="D65" s="413"/>
      <c r="E65" s="413"/>
      <c r="F65" s="413"/>
      <c r="G65" s="413"/>
      <c r="H65" s="413"/>
      <c r="I65" s="414"/>
      <c r="J65" s="80"/>
      <c r="L65" s="60"/>
    </row>
    <row r="66" spans="1:16" ht="16.2" thickBot="1" x14ac:dyDescent="0.4">
      <c r="A66" s="426" t="s">
        <v>177</v>
      </c>
      <c r="B66" s="427"/>
      <c r="C66" s="427"/>
      <c r="D66" s="427"/>
      <c r="E66" s="427"/>
      <c r="F66" s="427"/>
      <c r="G66" s="427"/>
      <c r="H66" s="427"/>
      <c r="I66" s="428"/>
      <c r="J66" s="78">
        <f>1/(1+(J67*J68*(J69-(J69*J70))))</f>
        <v>0.99932029711025205</v>
      </c>
      <c r="L66" s="60"/>
    </row>
    <row r="67" spans="1:16" x14ac:dyDescent="0.3">
      <c r="A67" s="393" t="s">
        <v>137</v>
      </c>
      <c r="B67" s="394"/>
      <c r="C67" s="394"/>
      <c r="D67" s="394"/>
      <c r="E67" s="394"/>
      <c r="F67" s="394"/>
      <c r="G67" s="394"/>
      <c r="H67" s="394"/>
      <c r="I67" s="395"/>
      <c r="J67" s="81">
        <v>2.53E-2</v>
      </c>
      <c r="L67" s="60"/>
    </row>
    <row r="68" spans="1:16" x14ac:dyDescent="0.3">
      <c r="A68" s="83" t="s">
        <v>131</v>
      </c>
      <c r="B68" s="1"/>
      <c r="C68" s="1"/>
      <c r="D68" s="1"/>
      <c r="E68" s="1"/>
      <c r="F68" s="1"/>
      <c r="G68" s="1"/>
      <c r="H68" s="1"/>
      <c r="I68" s="1"/>
      <c r="J68" s="1">
        <f>J62</f>
        <v>2.1999999999999999E-2</v>
      </c>
      <c r="L68" s="60"/>
    </row>
    <row r="69" spans="1:16" ht="15.6" x14ac:dyDescent="0.35">
      <c r="A69" s="393" t="s">
        <v>166</v>
      </c>
      <c r="B69" s="394"/>
      <c r="C69" s="394"/>
      <c r="D69" s="394"/>
      <c r="E69" s="394"/>
      <c r="F69" s="394"/>
      <c r="G69" s="394"/>
      <c r="H69" s="394"/>
      <c r="I69" s="395"/>
      <c r="J69" s="1">
        <f>J33</f>
        <v>6.11</v>
      </c>
      <c r="L69" s="60"/>
    </row>
    <row r="70" spans="1:16" ht="15" thickBot="1" x14ac:dyDescent="0.35">
      <c r="A70" s="423" t="s">
        <v>138</v>
      </c>
      <c r="B70" s="424"/>
      <c r="C70" s="424"/>
      <c r="D70" s="424"/>
      <c r="E70" s="424"/>
      <c r="F70" s="424"/>
      <c r="G70" s="424"/>
      <c r="H70" s="424"/>
      <c r="I70" s="425"/>
      <c r="J70" s="68">
        <f>J34</f>
        <v>0.8</v>
      </c>
      <c r="K70" s="76"/>
      <c r="L70" s="77"/>
    </row>
    <row r="71" spans="1:16" ht="15" thickBot="1" x14ac:dyDescent="0.35"/>
    <row r="72" spans="1:16" x14ac:dyDescent="0.3">
      <c r="A72" s="56" t="s">
        <v>140</v>
      </c>
      <c r="B72" s="57"/>
      <c r="C72" s="57"/>
      <c r="D72" s="57"/>
      <c r="E72" s="57"/>
      <c r="F72" s="57"/>
      <c r="G72" s="57"/>
      <c r="H72" s="57"/>
      <c r="I72" s="57"/>
      <c r="J72" s="57"/>
      <c r="K72" s="57"/>
      <c r="L72" s="57"/>
      <c r="M72" s="57"/>
      <c r="N72" s="57"/>
      <c r="O72" s="57"/>
      <c r="P72" s="58"/>
    </row>
    <row r="73" spans="1:16" x14ac:dyDescent="0.3">
      <c r="A73" s="59" t="s">
        <v>141</v>
      </c>
      <c r="P73" s="60"/>
    </row>
    <row r="74" spans="1:16" x14ac:dyDescent="0.3">
      <c r="A74" s="59" t="s">
        <v>142</v>
      </c>
      <c r="P74" s="60"/>
    </row>
    <row r="75" spans="1:16" x14ac:dyDescent="0.3">
      <c r="A75" s="59"/>
      <c r="P75" s="60"/>
    </row>
    <row r="76" spans="1:16" x14ac:dyDescent="0.3">
      <c r="A76" s="59"/>
      <c r="P76" s="60"/>
    </row>
    <row r="77" spans="1:16" x14ac:dyDescent="0.3">
      <c r="A77" s="417" t="s">
        <v>146</v>
      </c>
      <c r="B77" s="418" t="s">
        <v>143</v>
      </c>
      <c r="C77" s="419"/>
      <c r="D77" s="420"/>
      <c r="E77" s="47" t="s">
        <v>144</v>
      </c>
      <c r="F77" s="47" t="s">
        <v>145</v>
      </c>
      <c r="P77" s="60"/>
    </row>
    <row r="78" spans="1:16" x14ac:dyDescent="0.3">
      <c r="A78" s="417"/>
      <c r="B78" s="421" t="s">
        <v>179</v>
      </c>
      <c r="C78" s="422"/>
      <c r="D78" s="388"/>
      <c r="E78" s="63">
        <f>A79*J39</f>
        <v>0.11321591796251075</v>
      </c>
      <c r="F78" s="63">
        <f>J48*A79</f>
        <v>2.6564180380090677E-2</v>
      </c>
      <c r="P78" s="60"/>
    </row>
    <row r="79" spans="1:16" ht="15" thickBot="1" x14ac:dyDescent="0.35">
      <c r="A79" s="84">
        <v>0.03</v>
      </c>
      <c r="B79" s="409"/>
      <c r="C79" s="410"/>
      <c r="D79" s="411"/>
      <c r="E79" s="86"/>
      <c r="F79" s="86"/>
      <c r="G79" s="76"/>
      <c r="H79" s="76"/>
      <c r="I79" s="76"/>
      <c r="J79" s="76"/>
      <c r="K79" s="76"/>
      <c r="L79" s="76"/>
      <c r="M79" s="76"/>
      <c r="N79" s="76"/>
      <c r="O79" s="76"/>
      <c r="P79" s="77"/>
    </row>
    <row r="80" spans="1:16" x14ac:dyDescent="0.3">
      <c r="B80" t="s">
        <v>324</v>
      </c>
      <c r="C80" t="s">
        <v>325</v>
      </c>
    </row>
    <row r="81" spans="1:3" x14ac:dyDescent="0.3">
      <c r="A81" t="s">
        <v>210</v>
      </c>
      <c r="B81">
        <v>6567610</v>
      </c>
      <c r="C81">
        <v>693872</v>
      </c>
    </row>
    <row r="82" spans="1:3" x14ac:dyDescent="0.3">
      <c r="A82" t="s">
        <v>211</v>
      </c>
      <c r="B82">
        <v>6567613</v>
      </c>
      <c r="C82">
        <v>693876</v>
      </c>
    </row>
  </sheetData>
  <mergeCells count="41">
    <mergeCell ref="A41:I41"/>
    <mergeCell ref="A42:I42"/>
    <mergeCell ref="A43:I43"/>
    <mergeCell ref="A70:I70"/>
    <mergeCell ref="A66:I66"/>
    <mergeCell ref="A63:I63"/>
    <mergeCell ref="A61:I61"/>
    <mergeCell ref="A64:I64"/>
    <mergeCell ref="A50:I50"/>
    <mergeCell ref="A51:I51"/>
    <mergeCell ref="A52:I52"/>
    <mergeCell ref="A53:I53"/>
    <mergeCell ref="A54:I54"/>
    <mergeCell ref="A55:I55"/>
    <mergeCell ref="B79:D79"/>
    <mergeCell ref="A65:I65"/>
    <mergeCell ref="A67:I67"/>
    <mergeCell ref="A69:I69"/>
    <mergeCell ref="A57:J57"/>
    <mergeCell ref="A77:A78"/>
    <mergeCell ref="B77:D77"/>
    <mergeCell ref="B78:D78"/>
    <mergeCell ref="A34:I34"/>
    <mergeCell ref="A30:J30"/>
    <mergeCell ref="A26:J26"/>
    <mergeCell ref="A31:I31"/>
    <mergeCell ref="A13:I13"/>
    <mergeCell ref="A14:I14"/>
    <mergeCell ref="A16:I16"/>
    <mergeCell ref="A32:I32"/>
    <mergeCell ref="A23:I23"/>
    <mergeCell ref="A24:I24"/>
    <mergeCell ref="A25:I25"/>
    <mergeCell ref="A27:I27"/>
    <mergeCell ref="A28:I28"/>
    <mergeCell ref="A15:J15"/>
    <mergeCell ref="K4:K5"/>
    <mergeCell ref="E4:E5"/>
    <mergeCell ref="I4:I5"/>
    <mergeCell ref="J4:J5"/>
    <mergeCell ref="A33:I33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EC378B-4846-4BA1-ABE1-B00753F61CCF}">
  <dimension ref="A1:AC24"/>
  <sheetViews>
    <sheetView workbookViewId="0">
      <selection activeCell="H32" sqref="H32"/>
    </sheetView>
  </sheetViews>
  <sheetFormatPr defaultColWidth="8.6640625" defaultRowHeight="14.4" x14ac:dyDescent="0.3"/>
  <cols>
    <col min="1" max="1" width="39.6640625" style="300" customWidth="1"/>
    <col min="2" max="4" width="18" style="300" customWidth="1"/>
    <col min="5" max="10" width="9.5546875" style="300" customWidth="1"/>
    <col min="11" max="13" width="8.6640625" style="300"/>
    <col min="14" max="14" width="31" style="300" customWidth="1"/>
    <col min="15" max="15" width="31.88671875" style="300" customWidth="1"/>
    <col min="16" max="18" width="13.6640625" style="300" customWidth="1"/>
    <col min="19" max="20" width="8.6640625" style="300"/>
    <col min="21" max="21" width="12.44140625" style="300" customWidth="1"/>
    <col min="22" max="256" width="8.6640625" style="300"/>
    <col min="257" max="257" width="30.33203125" style="300" customWidth="1"/>
    <col min="258" max="258" width="16" style="300" customWidth="1"/>
    <col min="259" max="260" width="14.33203125" style="300" customWidth="1"/>
    <col min="261" max="512" width="8.6640625" style="300"/>
    <col min="513" max="513" width="30.33203125" style="300" customWidth="1"/>
    <col min="514" max="514" width="16" style="300" customWidth="1"/>
    <col min="515" max="516" width="14.33203125" style="300" customWidth="1"/>
    <col min="517" max="768" width="8.6640625" style="300"/>
    <col min="769" max="769" width="30.33203125" style="300" customWidth="1"/>
    <col min="770" max="770" width="16" style="300" customWidth="1"/>
    <col min="771" max="772" width="14.33203125" style="300" customWidth="1"/>
    <col min="773" max="1024" width="8.6640625" style="300"/>
    <col min="1025" max="1025" width="30.33203125" style="300" customWidth="1"/>
    <col min="1026" max="1026" width="16" style="300" customWidth="1"/>
    <col min="1027" max="1028" width="14.33203125" style="300" customWidth="1"/>
    <col min="1029" max="1280" width="8.6640625" style="300"/>
    <col min="1281" max="1281" width="30.33203125" style="300" customWidth="1"/>
    <col min="1282" max="1282" width="16" style="300" customWidth="1"/>
    <col min="1283" max="1284" width="14.33203125" style="300" customWidth="1"/>
    <col min="1285" max="1536" width="8.6640625" style="300"/>
    <col min="1537" max="1537" width="30.33203125" style="300" customWidth="1"/>
    <col min="1538" max="1538" width="16" style="300" customWidth="1"/>
    <col min="1539" max="1540" width="14.33203125" style="300" customWidth="1"/>
    <col min="1541" max="1792" width="8.6640625" style="300"/>
    <col min="1793" max="1793" width="30.33203125" style="300" customWidth="1"/>
    <col min="1794" max="1794" width="16" style="300" customWidth="1"/>
    <col min="1795" max="1796" width="14.33203125" style="300" customWidth="1"/>
    <col min="1797" max="2048" width="8.6640625" style="300"/>
    <col min="2049" max="2049" width="30.33203125" style="300" customWidth="1"/>
    <col min="2050" max="2050" width="16" style="300" customWidth="1"/>
    <col min="2051" max="2052" width="14.33203125" style="300" customWidth="1"/>
    <col min="2053" max="2304" width="8.6640625" style="300"/>
    <col min="2305" max="2305" width="30.33203125" style="300" customWidth="1"/>
    <col min="2306" max="2306" width="16" style="300" customWidth="1"/>
    <col min="2307" max="2308" width="14.33203125" style="300" customWidth="1"/>
    <col min="2309" max="2560" width="8.6640625" style="300"/>
    <col min="2561" max="2561" width="30.33203125" style="300" customWidth="1"/>
    <col min="2562" max="2562" width="16" style="300" customWidth="1"/>
    <col min="2563" max="2564" width="14.33203125" style="300" customWidth="1"/>
    <col min="2565" max="2816" width="8.6640625" style="300"/>
    <col min="2817" max="2817" width="30.33203125" style="300" customWidth="1"/>
    <col min="2818" max="2818" width="16" style="300" customWidth="1"/>
    <col min="2819" max="2820" width="14.33203125" style="300" customWidth="1"/>
    <col min="2821" max="3072" width="8.6640625" style="300"/>
    <col min="3073" max="3073" width="30.33203125" style="300" customWidth="1"/>
    <col min="3074" max="3074" width="16" style="300" customWidth="1"/>
    <col min="3075" max="3076" width="14.33203125" style="300" customWidth="1"/>
    <col min="3077" max="3328" width="8.6640625" style="300"/>
    <col min="3329" max="3329" width="30.33203125" style="300" customWidth="1"/>
    <col min="3330" max="3330" width="16" style="300" customWidth="1"/>
    <col min="3331" max="3332" width="14.33203125" style="300" customWidth="1"/>
    <col min="3333" max="3584" width="8.6640625" style="300"/>
    <col min="3585" max="3585" width="30.33203125" style="300" customWidth="1"/>
    <col min="3586" max="3586" width="16" style="300" customWidth="1"/>
    <col min="3587" max="3588" width="14.33203125" style="300" customWidth="1"/>
    <col min="3589" max="3840" width="8.6640625" style="300"/>
    <col min="3841" max="3841" width="30.33203125" style="300" customWidth="1"/>
    <col min="3842" max="3842" width="16" style="300" customWidth="1"/>
    <col min="3843" max="3844" width="14.33203125" style="300" customWidth="1"/>
    <col min="3845" max="4096" width="8.6640625" style="300"/>
    <col min="4097" max="4097" width="30.33203125" style="300" customWidth="1"/>
    <col min="4098" max="4098" width="16" style="300" customWidth="1"/>
    <col min="4099" max="4100" width="14.33203125" style="300" customWidth="1"/>
    <col min="4101" max="4352" width="8.6640625" style="300"/>
    <col min="4353" max="4353" width="30.33203125" style="300" customWidth="1"/>
    <col min="4354" max="4354" width="16" style="300" customWidth="1"/>
    <col min="4355" max="4356" width="14.33203125" style="300" customWidth="1"/>
    <col min="4357" max="4608" width="8.6640625" style="300"/>
    <col min="4609" max="4609" width="30.33203125" style="300" customWidth="1"/>
    <col min="4610" max="4610" width="16" style="300" customWidth="1"/>
    <col min="4611" max="4612" width="14.33203125" style="300" customWidth="1"/>
    <col min="4613" max="4864" width="8.6640625" style="300"/>
    <col min="4865" max="4865" width="30.33203125" style="300" customWidth="1"/>
    <col min="4866" max="4866" width="16" style="300" customWidth="1"/>
    <col min="4867" max="4868" width="14.33203125" style="300" customWidth="1"/>
    <col min="4869" max="5120" width="8.6640625" style="300"/>
    <col min="5121" max="5121" width="30.33203125" style="300" customWidth="1"/>
    <col min="5122" max="5122" width="16" style="300" customWidth="1"/>
    <col min="5123" max="5124" width="14.33203125" style="300" customWidth="1"/>
    <col min="5125" max="5376" width="8.6640625" style="300"/>
    <col min="5377" max="5377" width="30.33203125" style="300" customWidth="1"/>
    <col min="5378" max="5378" width="16" style="300" customWidth="1"/>
    <col min="5379" max="5380" width="14.33203125" style="300" customWidth="1"/>
    <col min="5381" max="5632" width="8.6640625" style="300"/>
    <col min="5633" max="5633" width="30.33203125" style="300" customWidth="1"/>
    <col min="5634" max="5634" width="16" style="300" customWidth="1"/>
    <col min="5635" max="5636" width="14.33203125" style="300" customWidth="1"/>
    <col min="5637" max="5888" width="8.6640625" style="300"/>
    <col min="5889" max="5889" width="30.33203125" style="300" customWidth="1"/>
    <col min="5890" max="5890" width="16" style="300" customWidth="1"/>
    <col min="5891" max="5892" width="14.33203125" style="300" customWidth="1"/>
    <col min="5893" max="6144" width="8.6640625" style="300"/>
    <col min="6145" max="6145" width="30.33203125" style="300" customWidth="1"/>
    <col min="6146" max="6146" width="16" style="300" customWidth="1"/>
    <col min="6147" max="6148" width="14.33203125" style="300" customWidth="1"/>
    <col min="6149" max="6400" width="8.6640625" style="300"/>
    <col min="6401" max="6401" width="30.33203125" style="300" customWidth="1"/>
    <col min="6402" max="6402" width="16" style="300" customWidth="1"/>
    <col min="6403" max="6404" width="14.33203125" style="300" customWidth="1"/>
    <col min="6405" max="6656" width="8.6640625" style="300"/>
    <col min="6657" max="6657" width="30.33203125" style="300" customWidth="1"/>
    <col min="6658" max="6658" width="16" style="300" customWidth="1"/>
    <col min="6659" max="6660" width="14.33203125" style="300" customWidth="1"/>
    <col min="6661" max="6912" width="8.6640625" style="300"/>
    <col min="6913" max="6913" width="30.33203125" style="300" customWidth="1"/>
    <col min="6914" max="6914" width="16" style="300" customWidth="1"/>
    <col min="6915" max="6916" width="14.33203125" style="300" customWidth="1"/>
    <col min="6917" max="7168" width="8.6640625" style="300"/>
    <col min="7169" max="7169" width="30.33203125" style="300" customWidth="1"/>
    <col min="7170" max="7170" width="16" style="300" customWidth="1"/>
    <col min="7171" max="7172" width="14.33203125" style="300" customWidth="1"/>
    <col min="7173" max="7424" width="8.6640625" style="300"/>
    <col min="7425" max="7425" width="30.33203125" style="300" customWidth="1"/>
    <col min="7426" max="7426" width="16" style="300" customWidth="1"/>
    <col min="7427" max="7428" width="14.33203125" style="300" customWidth="1"/>
    <col min="7429" max="7680" width="8.6640625" style="300"/>
    <col min="7681" max="7681" width="30.33203125" style="300" customWidth="1"/>
    <col min="7682" max="7682" width="16" style="300" customWidth="1"/>
    <col min="7683" max="7684" width="14.33203125" style="300" customWidth="1"/>
    <col min="7685" max="7936" width="8.6640625" style="300"/>
    <col min="7937" max="7937" width="30.33203125" style="300" customWidth="1"/>
    <col min="7938" max="7938" width="16" style="300" customWidth="1"/>
    <col min="7939" max="7940" width="14.33203125" style="300" customWidth="1"/>
    <col min="7941" max="8192" width="8.6640625" style="300"/>
    <col min="8193" max="8193" width="30.33203125" style="300" customWidth="1"/>
    <col min="8194" max="8194" width="16" style="300" customWidth="1"/>
    <col min="8195" max="8196" width="14.33203125" style="300" customWidth="1"/>
    <col min="8197" max="8448" width="8.6640625" style="300"/>
    <col min="8449" max="8449" width="30.33203125" style="300" customWidth="1"/>
    <col min="8450" max="8450" width="16" style="300" customWidth="1"/>
    <col min="8451" max="8452" width="14.33203125" style="300" customWidth="1"/>
    <col min="8453" max="8704" width="8.6640625" style="300"/>
    <col min="8705" max="8705" width="30.33203125" style="300" customWidth="1"/>
    <col min="8706" max="8706" width="16" style="300" customWidth="1"/>
    <col min="8707" max="8708" width="14.33203125" style="300" customWidth="1"/>
    <col min="8709" max="8960" width="8.6640625" style="300"/>
    <col min="8961" max="8961" width="30.33203125" style="300" customWidth="1"/>
    <col min="8962" max="8962" width="16" style="300" customWidth="1"/>
    <col min="8963" max="8964" width="14.33203125" style="300" customWidth="1"/>
    <col min="8965" max="9216" width="8.6640625" style="300"/>
    <col min="9217" max="9217" width="30.33203125" style="300" customWidth="1"/>
    <col min="9218" max="9218" width="16" style="300" customWidth="1"/>
    <col min="9219" max="9220" width="14.33203125" style="300" customWidth="1"/>
    <col min="9221" max="9472" width="8.6640625" style="300"/>
    <col min="9473" max="9473" width="30.33203125" style="300" customWidth="1"/>
    <col min="9474" max="9474" width="16" style="300" customWidth="1"/>
    <col min="9475" max="9476" width="14.33203125" style="300" customWidth="1"/>
    <col min="9477" max="9728" width="8.6640625" style="300"/>
    <col min="9729" max="9729" width="30.33203125" style="300" customWidth="1"/>
    <col min="9730" max="9730" width="16" style="300" customWidth="1"/>
    <col min="9731" max="9732" width="14.33203125" style="300" customWidth="1"/>
    <col min="9733" max="9984" width="8.6640625" style="300"/>
    <col min="9985" max="9985" width="30.33203125" style="300" customWidth="1"/>
    <col min="9986" max="9986" width="16" style="300" customWidth="1"/>
    <col min="9987" max="9988" width="14.33203125" style="300" customWidth="1"/>
    <col min="9989" max="10240" width="8.6640625" style="300"/>
    <col min="10241" max="10241" width="30.33203125" style="300" customWidth="1"/>
    <col min="10242" max="10242" width="16" style="300" customWidth="1"/>
    <col min="10243" max="10244" width="14.33203125" style="300" customWidth="1"/>
    <col min="10245" max="10496" width="8.6640625" style="300"/>
    <col min="10497" max="10497" width="30.33203125" style="300" customWidth="1"/>
    <col min="10498" max="10498" width="16" style="300" customWidth="1"/>
    <col min="10499" max="10500" width="14.33203125" style="300" customWidth="1"/>
    <col min="10501" max="10752" width="8.6640625" style="300"/>
    <col min="10753" max="10753" width="30.33203125" style="300" customWidth="1"/>
    <col min="10754" max="10754" width="16" style="300" customWidth="1"/>
    <col min="10755" max="10756" width="14.33203125" style="300" customWidth="1"/>
    <col min="10757" max="11008" width="8.6640625" style="300"/>
    <col min="11009" max="11009" width="30.33203125" style="300" customWidth="1"/>
    <col min="11010" max="11010" width="16" style="300" customWidth="1"/>
    <col min="11011" max="11012" width="14.33203125" style="300" customWidth="1"/>
    <col min="11013" max="11264" width="8.6640625" style="300"/>
    <col min="11265" max="11265" width="30.33203125" style="300" customWidth="1"/>
    <col min="11266" max="11266" width="16" style="300" customWidth="1"/>
    <col min="11267" max="11268" width="14.33203125" style="300" customWidth="1"/>
    <col min="11269" max="11520" width="8.6640625" style="300"/>
    <col min="11521" max="11521" width="30.33203125" style="300" customWidth="1"/>
    <col min="11522" max="11522" width="16" style="300" customWidth="1"/>
    <col min="11523" max="11524" width="14.33203125" style="300" customWidth="1"/>
    <col min="11525" max="11776" width="8.6640625" style="300"/>
    <col min="11777" max="11777" width="30.33203125" style="300" customWidth="1"/>
    <col min="11778" max="11778" width="16" style="300" customWidth="1"/>
    <col min="11779" max="11780" width="14.33203125" style="300" customWidth="1"/>
    <col min="11781" max="12032" width="8.6640625" style="300"/>
    <col min="12033" max="12033" width="30.33203125" style="300" customWidth="1"/>
    <col min="12034" max="12034" width="16" style="300" customWidth="1"/>
    <col min="12035" max="12036" width="14.33203125" style="300" customWidth="1"/>
    <col min="12037" max="12288" width="8.6640625" style="300"/>
    <col min="12289" max="12289" width="30.33203125" style="300" customWidth="1"/>
    <col min="12290" max="12290" width="16" style="300" customWidth="1"/>
    <col min="12291" max="12292" width="14.33203125" style="300" customWidth="1"/>
    <col min="12293" max="12544" width="8.6640625" style="300"/>
    <col min="12545" max="12545" width="30.33203125" style="300" customWidth="1"/>
    <col min="12546" max="12546" width="16" style="300" customWidth="1"/>
    <col min="12547" max="12548" width="14.33203125" style="300" customWidth="1"/>
    <col min="12549" max="12800" width="8.6640625" style="300"/>
    <col min="12801" max="12801" width="30.33203125" style="300" customWidth="1"/>
    <col min="12802" max="12802" width="16" style="300" customWidth="1"/>
    <col min="12803" max="12804" width="14.33203125" style="300" customWidth="1"/>
    <col min="12805" max="13056" width="8.6640625" style="300"/>
    <col min="13057" max="13057" width="30.33203125" style="300" customWidth="1"/>
    <col min="13058" max="13058" width="16" style="300" customWidth="1"/>
    <col min="13059" max="13060" width="14.33203125" style="300" customWidth="1"/>
    <col min="13061" max="13312" width="8.6640625" style="300"/>
    <col min="13313" max="13313" width="30.33203125" style="300" customWidth="1"/>
    <col min="13314" max="13314" width="16" style="300" customWidth="1"/>
    <col min="13315" max="13316" width="14.33203125" style="300" customWidth="1"/>
    <col min="13317" max="13568" width="8.6640625" style="300"/>
    <col min="13569" max="13569" width="30.33203125" style="300" customWidth="1"/>
    <col min="13570" max="13570" width="16" style="300" customWidth="1"/>
    <col min="13571" max="13572" width="14.33203125" style="300" customWidth="1"/>
    <col min="13573" max="13824" width="8.6640625" style="300"/>
    <col min="13825" max="13825" width="30.33203125" style="300" customWidth="1"/>
    <col min="13826" max="13826" width="16" style="300" customWidth="1"/>
    <col min="13827" max="13828" width="14.33203125" style="300" customWidth="1"/>
    <col min="13829" max="14080" width="8.6640625" style="300"/>
    <col min="14081" max="14081" width="30.33203125" style="300" customWidth="1"/>
    <col min="14082" max="14082" width="16" style="300" customWidth="1"/>
    <col min="14083" max="14084" width="14.33203125" style="300" customWidth="1"/>
    <col min="14085" max="14336" width="8.6640625" style="300"/>
    <col min="14337" max="14337" width="30.33203125" style="300" customWidth="1"/>
    <col min="14338" max="14338" width="16" style="300" customWidth="1"/>
    <col min="14339" max="14340" width="14.33203125" style="300" customWidth="1"/>
    <col min="14341" max="14592" width="8.6640625" style="300"/>
    <col min="14593" max="14593" width="30.33203125" style="300" customWidth="1"/>
    <col min="14594" max="14594" width="16" style="300" customWidth="1"/>
    <col min="14595" max="14596" width="14.33203125" style="300" customWidth="1"/>
    <col min="14597" max="14848" width="8.6640625" style="300"/>
    <col min="14849" max="14849" width="30.33203125" style="300" customWidth="1"/>
    <col min="14850" max="14850" width="16" style="300" customWidth="1"/>
    <col min="14851" max="14852" width="14.33203125" style="300" customWidth="1"/>
    <col min="14853" max="15104" width="8.6640625" style="300"/>
    <col min="15105" max="15105" width="30.33203125" style="300" customWidth="1"/>
    <col min="15106" max="15106" width="16" style="300" customWidth="1"/>
    <col min="15107" max="15108" width="14.33203125" style="300" customWidth="1"/>
    <col min="15109" max="15360" width="8.6640625" style="300"/>
    <col min="15361" max="15361" width="30.33203125" style="300" customWidth="1"/>
    <col min="15362" max="15362" width="16" style="300" customWidth="1"/>
    <col min="15363" max="15364" width="14.33203125" style="300" customWidth="1"/>
    <col min="15365" max="15616" width="8.6640625" style="300"/>
    <col min="15617" max="15617" width="30.33203125" style="300" customWidth="1"/>
    <col min="15618" max="15618" width="16" style="300" customWidth="1"/>
    <col min="15619" max="15620" width="14.33203125" style="300" customWidth="1"/>
    <col min="15621" max="15872" width="8.6640625" style="300"/>
    <col min="15873" max="15873" width="30.33203125" style="300" customWidth="1"/>
    <col min="15874" max="15874" width="16" style="300" customWidth="1"/>
    <col min="15875" max="15876" width="14.33203125" style="300" customWidth="1"/>
    <col min="15877" max="16128" width="8.6640625" style="300"/>
    <col min="16129" max="16129" width="30.33203125" style="300" customWidth="1"/>
    <col min="16130" max="16130" width="16" style="300" customWidth="1"/>
    <col min="16131" max="16132" width="14.33203125" style="300" customWidth="1"/>
    <col min="16133" max="16384" width="8.6640625" style="300"/>
  </cols>
  <sheetData>
    <row r="1" spans="1:29" ht="22.2" customHeight="1" x14ac:dyDescent="0.3">
      <c r="A1" s="348" t="s">
        <v>389</v>
      </c>
      <c r="B1" s="349" t="s">
        <v>390</v>
      </c>
      <c r="C1" s="349"/>
      <c r="D1" s="350"/>
      <c r="E1" s="349" t="s">
        <v>392</v>
      </c>
      <c r="F1" s="349"/>
      <c r="G1" s="351"/>
      <c r="H1" s="349" t="s">
        <v>391</v>
      </c>
      <c r="I1" s="349"/>
      <c r="J1" s="350"/>
    </row>
    <row r="2" spans="1:29" x14ac:dyDescent="0.3">
      <c r="A2" s="348"/>
      <c r="B2" s="327" t="s">
        <v>393</v>
      </c>
      <c r="C2" s="327" t="s">
        <v>394</v>
      </c>
      <c r="D2" s="327" t="s">
        <v>275</v>
      </c>
      <c r="E2" s="327" t="s">
        <v>393</v>
      </c>
      <c r="F2" s="327" t="s">
        <v>394</v>
      </c>
      <c r="G2" s="327" t="s">
        <v>275</v>
      </c>
      <c r="H2" s="327" t="s">
        <v>393</v>
      </c>
      <c r="I2" s="327" t="s">
        <v>394</v>
      </c>
      <c r="J2" s="327" t="s">
        <v>275</v>
      </c>
      <c r="N2" s="285" t="s">
        <v>257</v>
      </c>
      <c r="O2" s="286" t="s">
        <v>258</v>
      </c>
      <c r="P2" s="286">
        <v>3.5</v>
      </c>
      <c r="Q2" s="286" t="s">
        <v>106</v>
      </c>
      <c r="R2" s="284"/>
      <c r="S2" s="284"/>
      <c r="T2" s="284"/>
      <c r="U2" s="284"/>
      <c r="V2" s="284"/>
      <c r="W2" s="284"/>
      <c r="X2" s="284"/>
      <c r="Y2" s="284"/>
      <c r="Z2" s="284"/>
      <c r="AA2" s="284"/>
      <c r="AB2" s="284"/>
      <c r="AC2" s="284"/>
    </row>
    <row r="3" spans="1:29" x14ac:dyDescent="0.3">
      <c r="A3" s="328" t="s">
        <v>378</v>
      </c>
      <c r="B3" s="329">
        <v>2.1700000000000001E-3</v>
      </c>
      <c r="C3" s="329">
        <v>1.0200000000000001E-3</v>
      </c>
      <c r="D3" s="329">
        <v>1.6000000000000001E-4</v>
      </c>
      <c r="E3" s="303">
        <f t="shared" ref="E3:E11" si="0">H3*1000000/($C$24*3600)</f>
        <v>0.21097222222222223</v>
      </c>
      <c r="F3" s="303">
        <f t="shared" ref="F3:F11" si="1">I3*1000000/($C$24*3600)</f>
        <v>9.9166666666666681E-2</v>
      </c>
      <c r="G3" s="303">
        <f t="shared" ref="G3:G11" si="2">J3*1000000/($C$24*3600)</f>
        <v>1.5555555555555559E-2</v>
      </c>
      <c r="H3" s="303">
        <f t="shared" ref="H3:J4" si="3">B3*$C$16/1000</f>
        <v>2.6040000000000001</v>
      </c>
      <c r="I3" s="303">
        <f t="shared" si="3"/>
        <v>1.224</v>
      </c>
      <c r="J3" s="303">
        <f t="shared" si="3"/>
        <v>0.19200000000000003</v>
      </c>
      <c r="N3" s="284"/>
      <c r="O3" s="286" t="s">
        <v>259</v>
      </c>
      <c r="P3" s="286">
        <v>2</v>
      </c>
      <c r="Q3" s="286" t="s">
        <v>3</v>
      </c>
      <c r="R3" s="287"/>
      <c r="S3" s="284"/>
      <c r="T3" s="284"/>
      <c r="U3" s="284"/>
      <c r="V3" s="284"/>
      <c r="W3" s="284"/>
      <c r="X3" s="284"/>
      <c r="Y3" s="284"/>
      <c r="Z3" s="284"/>
      <c r="AA3" s="284"/>
      <c r="AB3" s="284"/>
      <c r="AC3" s="284"/>
    </row>
    <row r="4" spans="1:29" x14ac:dyDescent="0.3">
      <c r="A4" s="301" t="s">
        <v>407</v>
      </c>
      <c r="B4" s="302">
        <v>6.0000000000000006E-4</v>
      </c>
      <c r="C4" s="302">
        <f>0.00027</f>
        <v>2.7E-4</v>
      </c>
      <c r="D4" s="302">
        <v>5.0000000000000002E-5</v>
      </c>
      <c r="E4" s="303">
        <f t="shared" si="0"/>
        <v>5.8333333333333348E-2</v>
      </c>
      <c r="F4" s="303">
        <f t="shared" si="1"/>
        <v>2.6250000000000002E-2</v>
      </c>
      <c r="G4" s="303">
        <f t="shared" si="2"/>
        <v>4.8611111111111112E-3</v>
      </c>
      <c r="H4" s="303">
        <f t="shared" si="3"/>
        <v>0.72000000000000008</v>
      </c>
      <c r="I4" s="303">
        <f t="shared" si="3"/>
        <v>0.32400000000000001</v>
      </c>
      <c r="J4" s="303">
        <f t="shared" si="3"/>
        <v>0.06</v>
      </c>
      <c r="N4" s="284"/>
      <c r="O4" s="286" t="s">
        <v>260</v>
      </c>
      <c r="P4" s="286">
        <v>0.74</v>
      </c>
      <c r="Q4" s="286" t="s">
        <v>261</v>
      </c>
      <c r="R4" s="159"/>
      <c r="S4" s="284"/>
      <c r="T4" s="284"/>
      <c r="U4" s="284"/>
      <c r="V4" s="284"/>
      <c r="W4" s="284"/>
      <c r="X4" s="284"/>
      <c r="Y4" s="284"/>
      <c r="Z4" s="284"/>
      <c r="AA4" s="284"/>
      <c r="AB4" s="284"/>
      <c r="AC4" s="284"/>
    </row>
    <row r="5" spans="1:29" x14ac:dyDescent="0.3">
      <c r="A5" s="301" t="s">
        <v>395</v>
      </c>
      <c r="B5" s="302">
        <v>6.0000000000000006E-4</v>
      </c>
      <c r="C5" s="302">
        <f>0.00027</f>
        <v>2.7E-4</v>
      </c>
      <c r="D5" s="302">
        <v>5.0000000000000002E-5</v>
      </c>
      <c r="E5" s="303">
        <f t="shared" si="0"/>
        <v>3.7916666666666675E-2</v>
      </c>
      <c r="F5" s="303">
        <f t="shared" si="1"/>
        <v>1.7062499999999998E-2</v>
      </c>
      <c r="G5" s="303">
        <f t="shared" si="2"/>
        <v>3.1597222222222226E-3</v>
      </c>
      <c r="H5" s="303">
        <f>(B5*(C18+C19+C20))/1000</f>
        <v>0.46800000000000008</v>
      </c>
      <c r="I5" s="303">
        <f>(C5*($C$18+$C$19+$C$20))/1000</f>
        <v>0.21059999999999998</v>
      </c>
      <c r="J5" s="303">
        <f>(D5*($C$18+$C$19+$C$20))/1000</f>
        <v>3.9E-2</v>
      </c>
      <c r="N5" s="284"/>
      <c r="O5" s="286" t="s">
        <v>262</v>
      </c>
      <c r="P5" s="286">
        <v>0.35</v>
      </c>
      <c r="Q5" s="286" t="s">
        <v>263</v>
      </c>
      <c r="R5" s="159"/>
      <c r="S5" s="284"/>
      <c r="T5" s="284"/>
      <c r="U5" s="284"/>
      <c r="V5" s="284"/>
      <c r="W5" s="284"/>
      <c r="X5" s="284"/>
      <c r="Y5" s="284"/>
      <c r="Z5" s="284"/>
      <c r="AA5" s="284"/>
      <c r="AB5" s="284"/>
      <c r="AC5" s="284"/>
    </row>
    <row r="6" spans="1:29" x14ac:dyDescent="0.3">
      <c r="A6" s="301" t="s">
        <v>396</v>
      </c>
      <c r="B6" s="302">
        <v>1.5E-3</v>
      </c>
      <c r="C6" s="302">
        <f>0.0006</f>
        <v>5.9999999999999995E-4</v>
      </c>
      <c r="D6" s="302">
        <v>3.4999999999999997E-5</v>
      </c>
      <c r="E6" s="303">
        <f t="shared" si="0"/>
        <v>5.1041666666666673E-2</v>
      </c>
      <c r="F6" s="303">
        <f t="shared" si="1"/>
        <v>2.0416666666666663E-2</v>
      </c>
      <c r="G6" s="303">
        <f t="shared" si="2"/>
        <v>1.1909722222222224E-3</v>
      </c>
      <c r="H6" s="303">
        <f>B6*C17/1000</f>
        <v>0.63</v>
      </c>
      <c r="I6" s="303">
        <f>C6*$C$17/1000</f>
        <v>0.25199999999999995</v>
      </c>
      <c r="J6" s="303">
        <f>D6*$C$17/1000</f>
        <v>1.47E-2</v>
      </c>
      <c r="N6" s="284"/>
      <c r="O6" s="286" t="s">
        <v>264</v>
      </c>
      <c r="P6" s="286">
        <v>5.2999999999999999E-2</v>
      </c>
      <c r="Q6" s="286" t="s">
        <v>263</v>
      </c>
      <c r="R6" s="284"/>
      <c r="S6" s="284"/>
      <c r="T6" s="284"/>
      <c r="U6" s="284"/>
      <c r="V6" s="284"/>
      <c r="W6" s="284"/>
      <c r="X6" s="284"/>
      <c r="Y6" s="284"/>
      <c r="Z6" s="284"/>
      <c r="AA6" s="284"/>
      <c r="AB6" s="284"/>
      <c r="AC6" s="284"/>
    </row>
    <row r="7" spans="1:29" x14ac:dyDescent="0.3">
      <c r="A7" s="301" t="s">
        <v>397</v>
      </c>
      <c r="B7" s="302">
        <v>1.1000000000000001E-3</v>
      </c>
      <c r="C7" s="302">
        <f>0.00037</f>
        <v>3.6999999999999999E-4</v>
      </c>
      <c r="D7" s="302">
        <v>2.5000000000000001E-5</v>
      </c>
      <c r="E7" s="303">
        <f t="shared" si="0"/>
        <v>6.9513888888888889E-2</v>
      </c>
      <c r="F7" s="303">
        <f t="shared" si="1"/>
        <v>2.3381944444444445E-2</v>
      </c>
      <c r="G7" s="303">
        <f t="shared" si="2"/>
        <v>1.5798611111111113E-3</v>
      </c>
      <c r="H7" s="303">
        <f>B7*(C20+C18+C19)/1000</f>
        <v>0.85799999999999998</v>
      </c>
      <c r="I7" s="303">
        <f>C7*($C$18+$C$19+$C$20)/1000</f>
        <v>0.28860000000000002</v>
      </c>
      <c r="J7" s="303">
        <f>D7*($C$18+$C$19+$C$20)/1000</f>
        <v>1.95E-2</v>
      </c>
      <c r="N7" s="284"/>
      <c r="O7" s="288" t="s">
        <v>265</v>
      </c>
      <c r="P7" s="289">
        <f>P4*0.0016*(P2/2.2)^1.3/(P3/2)^1.4</f>
        <v>2.1651633891409611E-3</v>
      </c>
      <c r="Q7" s="290" t="s">
        <v>266</v>
      </c>
      <c r="R7" s="284"/>
      <c r="S7" s="284"/>
      <c r="T7" s="284"/>
      <c r="U7" s="284"/>
      <c r="V7" s="284"/>
      <c r="W7" s="284"/>
      <c r="X7" s="284"/>
      <c r="Y7" s="284"/>
      <c r="Z7" s="284"/>
      <c r="AA7" s="284"/>
      <c r="AB7" s="284"/>
      <c r="AC7" s="284"/>
    </row>
    <row r="8" spans="1:29" x14ac:dyDescent="0.3">
      <c r="A8" s="301" t="s">
        <v>398</v>
      </c>
      <c r="B8" s="302">
        <v>1.8000000000000002E-3</v>
      </c>
      <c r="C8" s="302">
        <v>1.1000000000000001E-3</v>
      </c>
      <c r="D8" s="302"/>
      <c r="E8" s="303">
        <f t="shared" si="0"/>
        <v>6.1250000000000013E-2</v>
      </c>
      <c r="F8" s="303">
        <f t="shared" si="1"/>
        <v>3.7430555555555557E-2</v>
      </c>
      <c r="G8" s="303">
        <f t="shared" si="2"/>
        <v>0</v>
      </c>
      <c r="H8" s="303">
        <f>B8*C17/1000</f>
        <v>0.75600000000000012</v>
      </c>
      <c r="I8" s="303">
        <f>C8*$C$17/1000</f>
        <v>0.46200000000000002</v>
      </c>
      <c r="J8" s="303">
        <f>D8*$C$17/1000</f>
        <v>0</v>
      </c>
      <c r="N8" s="284"/>
      <c r="O8" s="288" t="s">
        <v>267</v>
      </c>
      <c r="P8" s="289">
        <f>P5*0.0016*(P2/2.2)^1.3/(P3/2)^1.4</f>
        <v>1.0240637651342383E-3</v>
      </c>
      <c r="Q8" s="290" t="s">
        <v>266</v>
      </c>
      <c r="R8" s="284"/>
      <c r="S8" s="284"/>
      <c r="T8" s="284"/>
      <c r="U8" s="284"/>
      <c r="V8" s="284"/>
      <c r="W8" s="284"/>
      <c r="X8" s="284"/>
      <c r="Y8" s="284"/>
      <c r="Z8" s="284"/>
      <c r="AA8" s="284"/>
      <c r="AB8" s="284"/>
      <c r="AC8" s="284"/>
    </row>
    <row r="9" spans="1:29" x14ac:dyDescent="0.3">
      <c r="A9" s="301" t="s">
        <v>399</v>
      </c>
      <c r="B9" s="304">
        <v>7.0000000000000007E-5</v>
      </c>
      <c r="C9" s="304">
        <f>0.000023</f>
        <v>2.3E-5</v>
      </c>
      <c r="D9" s="304">
        <v>6.4999999999999996E-6</v>
      </c>
      <c r="E9" s="303">
        <f t="shared" si="0"/>
        <v>6.8055555555555577E-3</v>
      </c>
      <c r="F9" s="303">
        <f t="shared" si="1"/>
        <v>2.2361111111111115E-3</v>
      </c>
      <c r="G9" s="303">
        <f t="shared" si="2"/>
        <v>6.3194444444444452E-4</v>
      </c>
      <c r="H9" s="302">
        <f t="shared" ref="H9:J11" si="4">B9*$C$16/1000</f>
        <v>8.4000000000000019E-2</v>
      </c>
      <c r="I9" s="302">
        <f t="shared" si="4"/>
        <v>2.7600000000000003E-2</v>
      </c>
      <c r="J9" s="302">
        <f t="shared" si="4"/>
        <v>7.7999999999999996E-3</v>
      </c>
      <c r="N9" s="284"/>
      <c r="O9" s="288" t="s">
        <v>268</v>
      </c>
      <c r="P9" s="289">
        <f>P6*0.0016*(P2/2.2)^1.3/(P3/2)^1.4</f>
        <v>1.550725130060418E-4</v>
      </c>
      <c r="Q9" s="290" t="s">
        <v>266</v>
      </c>
      <c r="R9" s="284"/>
      <c r="S9" s="284"/>
      <c r="T9" s="284"/>
      <c r="U9" s="284"/>
      <c r="V9" s="284"/>
      <c r="W9" s="284"/>
      <c r="X9" s="284"/>
      <c r="Y9" s="284"/>
      <c r="Z9" s="284"/>
      <c r="AA9" s="284"/>
      <c r="AB9" s="284"/>
      <c r="AC9" s="284"/>
    </row>
    <row r="10" spans="1:29" x14ac:dyDescent="0.3">
      <c r="A10" s="330" t="s">
        <v>381</v>
      </c>
      <c r="B10" s="304">
        <v>2.1700000000000001E-3</v>
      </c>
      <c r="C10" s="304">
        <v>1.0200000000000001E-3</v>
      </c>
      <c r="D10" s="304">
        <v>1.6000000000000001E-4</v>
      </c>
      <c r="E10" s="303">
        <f t="shared" si="0"/>
        <v>0.21097222222222223</v>
      </c>
      <c r="F10" s="303">
        <f t="shared" si="1"/>
        <v>9.9166666666666681E-2</v>
      </c>
      <c r="G10" s="303">
        <f t="shared" si="2"/>
        <v>1.5555555555555559E-2</v>
      </c>
      <c r="H10" s="302">
        <f t="shared" si="4"/>
        <v>2.6040000000000001</v>
      </c>
      <c r="I10" s="302">
        <f t="shared" si="4"/>
        <v>1.224</v>
      </c>
      <c r="J10" s="302">
        <f t="shared" si="4"/>
        <v>0.19200000000000003</v>
      </c>
      <c r="N10" s="291"/>
      <c r="O10" s="292"/>
      <c r="P10" s="293"/>
      <c r="Q10" s="284"/>
      <c r="R10" s="284"/>
      <c r="S10" s="284"/>
      <c r="T10" s="284"/>
      <c r="U10" s="284"/>
      <c r="V10" s="284"/>
      <c r="W10" s="284"/>
      <c r="X10" s="284"/>
      <c r="Y10" s="284"/>
      <c r="Z10" s="284"/>
      <c r="AA10" s="284"/>
      <c r="AB10" s="284"/>
      <c r="AC10" s="284"/>
    </row>
    <row r="11" spans="1:29" ht="28.8" x14ac:dyDescent="0.3">
      <c r="A11" s="331" t="s">
        <v>387</v>
      </c>
      <c r="B11" s="304">
        <v>2.1700000000000001E-3</v>
      </c>
      <c r="C11" s="304">
        <v>1.0200000000000001E-3</v>
      </c>
      <c r="D11" s="304">
        <v>1.6000000000000001E-4</v>
      </c>
      <c r="E11" s="303">
        <f t="shared" si="0"/>
        <v>0.21097222222222223</v>
      </c>
      <c r="F11" s="303">
        <f t="shared" si="1"/>
        <v>9.9166666666666681E-2</v>
      </c>
      <c r="G11" s="303">
        <f t="shared" si="2"/>
        <v>1.5555555555555559E-2</v>
      </c>
      <c r="H11" s="302">
        <f t="shared" si="4"/>
        <v>2.6040000000000001</v>
      </c>
      <c r="I11" s="302">
        <f t="shared" si="4"/>
        <v>1.224</v>
      </c>
      <c r="J11" s="302">
        <f t="shared" si="4"/>
        <v>0.19200000000000003</v>
      </c>
      <c r="N11" s="284"/>
      <c r="O11" s="159"/>
      <c r="P11" s="284"/>
      <c r="Q11" s="284"/>
      <c r="R11" s="284"/>
      <c r="S11" s="284"/>
      <c r="T11" s="284"/>
      <c r="U11" s="284"/>
      <c r="V11" s="284"/>
      <c r="W11" s="284"/>
      <c r="X11" s="284"/>
      <c r="Y11" s="284"/>
      <c r="Z11" s="284"/>
      <c r="AA11" s="284"/>
      <c r="AB11" s="284"/>
      <c r="AC11" s="284"/>
    </row>
    <row r="12" spans="1:29" ht="15" x14ac:dyDescent="0.3">
      <c r="A12" s="305" t="s">
        <v>406</v>
      </c>
      <c r="B12" s="306"/>
      <c r="C12" s="306"/>
      <c r="D12" s="306"/>
      <c r="E12" s="308">
        <f>SUM(E3:E11)</f>
        <v>0.9177777777777778</v>
      </c>
      <c r="F12" s="308">
        <f t="shared" ref="F12:J12" si="5">SUM(F3:F11)</f>
        <v>0.42427777777777781</v>
      </c>
      <c r="G12" s="308">
        <f t="shared" si="5"/>
        <v>5.8090277777777789E-2</v>
      </c>
      <c r="H12" s="307">
        <f t="shared" si="5"/>
        <v>11.327999999999999</v>
      </c>
      <c r="I12" s="307">
        <f t="shared" si="5"/>
        <v>5.2368000000000006</v>
      </c>
      <c r="J12" s="307">
        <f t="shared" si="5"/>
        <v>0.71700000000000008</v>
      </c>
      <c r="N12" s="287" t="s">
        <v>382</v>
      </c>
      <c r="O12" s="159"/>
      <c r="P12" s="284"/>
      <c r="Q12" s="284"/>
      <c r="R12" s="284"/>
      <c r="S12" s="284"/>
      <c r="T12" s="284"/>
      <c r="U12" s="284"/>
      <c r="V12" s="284"/>
      <c r="W12" s="284"/>
      <c r="X12" s="284"/>
      <c r="Y12" s="284"/>
      <c r="Z12" s="284"/>
      <c r="AA12" s="284"/>
      <c r="AB12" s="284"/>
      <c r="AC12" s="284"/>
    </row>
    <row r="13" spans="1:29" ht="41.4" x14ac:dyDescent="0.3">
      <c r="A13" s="309"/>
      <c r="I13" s="310"/>
      <c r="J13" s="310"/>
      <c r="N13" s="284"/>
      <c r="O13" s="294" t="s">
        <v>383</v>
      </c>
      <c r="P13" s="288" t="s">
        <v>384</v>
      </c>
      <c r="Q13" s="288" t="s">
        <v>385</v>
      </c>
      <c r="R13" s="295" t="s">
        <v>386</v>
      </c>
      <c r="V13" s="284"/>
      <c r="W13" s="284"/>
      <c r="X13" s="284"/>
      <c r="Y13" s="284"/>
      <c r="Z13" s="284"/>
      <c r="AA13" s="284"/>
      <c r="AB13" s="284"/>
      <c r="AC13" s="284"/>
    </row>
    <row r="14" spans="1:29" ht="15" x14ac:dyDescent="0.3">
      <c r="A14" s="309"/>
      <c r="N14" s="284"/>
      <c r="O14" s="286" t="s">
        <v>388</v>
      </c>
      <c r="P14" s="296">
        <v>5.9999999999999995E-4</v>
      </c>
      <c r="Q14" s="296">
        <v>2.7E-4</v>
      </c>
      <c r="R14" s="296">
        <v>5.0000000000000002E-5</v>
      </c>
      <c r="V14" s="284"/>
      <c r="W14" s="284"/>
      <c r="X14" s="284"/>
      <c r="Y14" s="284"/>
      <c r="Z14" s="284"/>
      <c r="AA14" s="284"/>
      <c r="AB14" s="284"/>
      <c r="AC14" s="284"/>
    </row>
    <row r="15" spans="1:29" ht="15" x14ac:dyDescent="0.3">
      <c r="A15" s="309" t="s">
        <v>400</v>
      </c>
      <c r="N15" s="284"/>
      <c r="O15" s="286" t="s">
        <v>380</v>
      </c>
      <c r="P15" s="296">
        <v>1.1000000000000001E-3</v>
      </c>
      <c r="Q15" s="296">
        <v>3.6999999999999999E-4</v>
      </c>
      <c r="R15" s="296">
        <v>2.5000000000000001E-5</v>
      </c>
      <c r="V15" s="284"/>
      <c r="W15" s="284"/>
      <c r="X15" s="284"/>
      <c r="Y15" s="284"/>
      <c r="Z15" s="284"/>
      <c r="AA15" s="284"/>
      <c r="AB15" s="284"/>
      <c r="AC15" s="284"/>
    </row>
    <row r="16" spans="1:29" x14ac:dyDescent="0.3">
      <c r="A16" s="311"/>
      <c r="B16" s="334" t="s">
        <v>401</v>
      </c>
      <c r="C16" s="316">
        <v>1200000</v>
      </c>
      <c r="D16" s="335" t="s">
        <v>61</v>
      </c>
      <c r="N16" s="284"/>
      <c r="O16" s="286" t="s">
        <v>379</v>
      </c>
      <c r="P16" s="296">
        <v>6.9999999999999994E-5</v>
      </c>
      <c r="Q16" s="296">
        <v>2.3E-5</v>
      </c>
      <c r="R16" s="296">
        <v>6.4999999999999996E-6</v>
      </c>
      <c r="V16" s="284"/>
      <c r="W16" s="284"/>
      <c r="X16" s="284"/>
      <c r="Y16" s="284"/>
      <c r="Z16" s="284"/>
      <c r="AA16" s="284"/>
      <c r="AB16" s="284"/>
      <c r="AC16" s="284"/>
    </row>
    <row r="17" spans="1:29" x14ac:dyDescent="0.3">
      <c r="A17" s="312" t="s">
        <v>402</v>
      </c>
      <c r="B17" s="313">
        <v>0.35</v>
      </c>
      <c r="C17" s="314">
        <f>B17*C16</f>
        <v>420000</v>
      </c>
      <c r="N17" s="291"/>
      <c r="O17" s="292"/>
      <c r="P17" s="293"/>
      <c r="Q17" s="284"/>
      <c r="R17" s="284"/>
      <c r="S17" s="284"/>
      <c r="T17" s="284"/>
      <c r="U17" s="284"/>
      <c r="V17" s="284"/>
      <c r="W17" s="284"/>
      <c r="X17" s="284"/>
      <c r="Y17" s="284"/>
      <c r="Z17" s="284"/>
      <c r="AA17" s="284"/>
      <c r="AB17" s="284"/>
      <c r="AC17" s="284"/>
    </row>
    <row r="18" spans="1:29" x14ac:dyDescent="0.3">
      <c r="A18" s="312" t="s">
        <v>403</v>
      </c>
      <c r="B18" s="313">
        <v>0.18</v>
      </c>
      <c r="C18" s="314">
        <f>B18*C16</f>
        <v>216000</v>
      </c>
      <c r="N18" s="285"/>
      <c r="O18" s="332"/>
      <c r="P18" s="284"/>
      <c r="Q18" s="284"/>
      <c r="R18" s="284"/>
      <c r="S18" s="284"/>
      <c r="T18" s="284"/>
      <c r="U18" s="284"/>
      <c r="V18" s="284"/>
      <c r="W18" s="284"/>
      <c r="X18" s="284"/>
      <c r="Y18" s="284"/>
      <c r="Z18" s="284"/>
      <c r="AA18" s="284"/>
      <c r="AB18" s="284"/>
      <c r="AC18" s="284"/>
    </row>
    <row r="19" spans="1:29" x14ac:dyDescent="0.3">
      <c r="A19" s="312" t="s">
        <v>404</v>
      </c>
      <c r="B19" s="313">
        <v>0.21</v>
      </c>
      <c r="C19" s="314">
        <f>B19*C16</f>
        <v>252000</v>
      </c>
      <c r="N19" s="284"/>
      <c r="O19" s="287"/>
      <c r="P19" s="287"/>
      <c r="Q19" s="287"/>
      <c r="R19" s="333"/>
      <c r="S19" s="284"/>
      <c r="T19" s="284"/>
      <c r="U19" s="284"/>
      <c r="V19" s="284"/>
      <c r="W19" s="284"/>
      <c r="X19" s="284"/>
      <c r="Y19" s="284"/>
      <c r="Z19" s="284"/>
      <c r="AA19" s="284"/>
      <c r="AB19" s="284"/>
      <c r="AC19" s="284"/>
    </row>
    <row r="20" spans="1:29" x14ac:dyDescent="0.3">
      <c r="A20" s="312" t="s">
        <v>405</v>
      </c>
      <c r="B20" s="313">
        <v>0.26</v>
      </c>
      <c r="C20" s="314">
        <f>B20*C16</f>
        <v>312000</v>
      </c>
      <c r="N20" s="284"/>
      <c r="O20" s="284"/>
      <c r="P20" s="284"/>
      <c r="Q20" s="284"/>
      <c r="R20" s="284"/>
      <c r="S20" s="284"/>
      <c r="T20" s="284"/>
      <c r="U20" s="284"/>
      <c r="V20" s="284"/>
      <c r="W20" s="284"/>
      <c r="X20" s="284"/>
      <c r="Y20" s="284"/>
      <c r="Z20" s="284"/>
      <c r="AA20" s="284"/>
      <c r="AB20" s="284"/>
      <c r="AC20" s="284"/>
    </row>
    <row r="21" spans="1:29" x14ac:dyDescent="0.3">
      <c r="A21" s="300" t="s">
        <v>63</v>
      </c>
      <c r="B21" s="315">
        <f>SUM(B17:B20)</f>
        <v>1</v>
      </c>
      <c r="C21" s="300">
        <f>SUM(C17:C20)</f>
        <v>1200000</v>
      </c>
      <c r="N21" s="284"/>
      <c r="O21" s="284"/>
      <c r="P21" s="284"/>
      <c r="Q21" s="284"/>
      <c r="R21" s="284"/>
      <c r="S21" s="284"/>
      <c r="T21" s="284"/>
      <c r="U21" s="284"/>
      <c r="V21" s="284"/>
      <c r="W21" s="284"/>
      <c r="X21" s="284"/>
      <c r="Y21" s="284"/>
      <c r="Z21" s="284"/>
      <c r="AA21" s="284"/>
      <c r="AB21" s="284"/>
      <c r="AC21" s="284"/>
    </row>
    <row r="22" spans="1:29" x14ac:dyDescent="0.3">
      <c r="N22" s="298"/>
      <c r="O22" s="299"/>
      <c r="P22" s="297"/>
      <c r="Q22" s="284"/>
      <c r="R22" s="284"/>
      <c r="S22" s="284"/>
      <c r="T22" s="284"/>
      <c r="U22" s="284"/>
      <c r="V22" s="284"/>
      <c r="W22" s="284"/>
      <c r="X22" s="284"/>
      <c r="Y22" s="284"/>
      <c r="Z22" s="284"/>
      <c r="AA22" s="284"/>
      <c r="AB22" s="284"/>
      <c r="AC22" s="284"/>
    </row>
    <row r="23" spans="1:29" x14ac:dyDescent="0.3">
      <c r="A23" s="302" t="s">
        <v>274</v>
      </c>
    </row>
    <row r="24" spans="1:29" x14ac:dyDescent="0.3">
      <c r="A24" s="302">
        <v>1200000</v>
      </c>
      <c r="B24" s="302">
        <v>350</v>
      </c>
      <c r="C24" s="317">
        <f>A24/B24</f>
        <v>3428.5714285714284</v>
      </c>
    </row>
  </sheetData>
  <sheetProtection selectLockedCells="1" selectUnlockedCells="1"/>
  <mergeCells count="4">
    <mergeCell ref="A1:A2"/>
    <mergeCell ref="B1:D1"/>
    <mergeCell ref="H1:J1"/>
    <mergeCell ref="E1:G1"/>
  </mergeCells>
  <pageMargins left="0.7" right="0.7" top="0.75" bottom="0.75" header="0.51180555555555551" footer="0.51180555555555551"/>
  <pageSetup firstPageNumber="0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Z25"/>
  <sheetViews>
    <sheetView tabSelected="1" zoomScaleNormal="100" workbookViewId="0">
      <selection activeCell="V37" sqref="V37"/>
    </sheetView>
  </sheetViews>
  <sheetFormatPr defaultRowHeight="14.4" x14ac:dyDescent="0.3"/>
  <cols>
    <col min="1" max="1" width="51.109375" customWidth="1"/>
    <col min="2" max="2" width="14" customWidth="1"/>
    <col min="3" max="3" width="9.6640625" customWidth="1"/>
    <col min="4" max="4" width="10" bestFit="1" customWidth="1"/>
    <col min="5" max="5" width="10.44140625" customWidth="1"/>
    <col min="6" max="20" width="6.77734375" customWidth="1"/>
    <col min="21" max="21" width="8.33203125" customWidth="1"/>
    <col min="22" max="31" width="6.77734375" customWidth="1"/>
    <col min="32" max="32" width="9" bestFit="1" customWidth="1"/>
    <col min="33" max="33" width="9" customWidth="1"/>
    <col min="34" max="34" width="12.44140625" customWidth="1"/>
  </cols>
  <sheetData>
    <row r="1" spans="1:52" ht="15" thickBot="1" x14ac:dyDescent="0.35"/>
    <row r="2" spans="1:52" s="17" customFormat="1" ht="15" thickBot="1" x14ac:dyDescent="0.35">
      <c r="A2" s="436" t="s">
        <v>10</v>
      </c>
      <c r="B2" s="438" t="s">
        <v>329</v>
      </c>
      <c r="C2" s="439"/>
      <c r="D2" s="432" t="s">
        <v>332</v>
      </c>
      <c r="E2" s="433"/>
      <c r="F2" s="432" t="s">
        <v>333</v>
      </c>
      <c r="G2" s="433"/>
      <c r="H2" s="432" t="s">
        <v>334</v>
      </c>
      <c r="I2" s="433"/>
      <c r="J2" s="432" t="s">
        <v>335</v>
      </c>
      <c r="K2" s="433"/>
      <c r="L2" s="432" t="s">
        <v>336</v>
      </c>
      <c r="M2" s="433"/>
      <c r="N2" s="432" t="s">
        <v>249</v>
      </c>
      <c r="O2" s="433"/>
      <c r="P2" s="432" t="s">
        <v>251</v>
      </c>
      <c r="Q2" s="440"/>
      <c r="R2" s="432" t="s">
        <v>254</v>
      </c>
      <c r="S2" s="433"/>
      <c r="T2" s="432" t="s">
        <v>279</v>
      </c>
      <c r="U2" s="433"/>
      <c r="V2" s="432" t="s">
        <v>221</v>
      </c>
      <c r="W2" s="433"/>
      <c r="X2" s="432" t="s">
        <v>227</v>
      </c>
      <c r="Y2" s="433"/>
      <c r="Z2" s="432" t="s">
        <v>224</v>
      </c>
      <c r="AA2" s="433"/>
      <c r="AB2" s="432" t="s">
        <v>225</v>
      </c>
      <c r="AC2" s="433"/>
      <c r="AD2" s="432" t="s">
        <v>408</v>
      </c>
      <c r="AE2" s="433"/>
      <c r="AF2" s="434" t="s">
        <v>337</v>
      </c>
      <c r="AG2" s="434"/>
      <c r="AH2" s="435"/>
      <c r="AX2"/>
      <c r="AY2"/>
      <c r="AZ2"/>
    </row>
    <row r="3" spans="1:52" s="2" customFormat="1" ht="15" thickBot="1" x14ac:dyDescent="0.35">
      <c r="A3" s="437"/>
      <c r="B3" s="340" t="s">
        <v>87</v>
      </c>
      <c r="C3" s="341" t="s">
        <v>61</v>
      </c>
      <c r="D3" s="340" t="s">
        <v>87</v>
      </c>
      <c r="E3" s="341" t="s">
        <v>61</v>
      </c>
      <c r="F3" s="340" t="s">
        <v>87</v>
      </c>
      <c r="G3" s="341" t="s">
        <v>61</v>
      </c>
      <c r="H3" s="340" t="s">
        <v>87</v>
      </c>
      <c r="I3" s="341" t="s">
        <v>61</v>
      </c>
      <c r="J3" s="340" t="s">
        <v>87</v>
      </c>
      <c r="K3" s="341" t="s">
        <v>61</v>
      </c>
      <c r="L3" s="340" t="s">
        <v>87</v>
      </c>
      <c r="M3" s="341" t="s">
        <v>61</v>
      </c>
      <c r="N3" s="340" t="s">
        <v>87</v>
      </c>
      <c r="O3" s="341" t="s">
        <v>61</v>
      </c>
      <c r="P3" s="340" t="s">
        <v>87</v>
      </c>
      <c r="Q3" s="342" t="s">
        <v>61</v>
      </c>
      <c r="R3" s="340" t="s">
        <v>87</v>
      </c>
      <c r="S3" s="341" t="s">
        <v>61</v>
      </c>
      <c r="T3" s="340" t="s">
        <v>87</v>
      </c>
      <c r="U3" s="341" t="s">
        <v>61</v>
      </c>
      <c r="V3" s="340" t="s">
        <v>87</v>
      </c>
      <c r="W3" s="341" t="s">
        <v>61</v>
      </c>
      <c r="X3" s="340" t="s">
        <v>87</v>
      </c>
      <c r="Y3" s="341" t="s">
        <v>61</v>
      </c>
      <c r="Z3" s="340" t="s">
        <v>87</v>
      </c>
      <c r="AA3" s="341" t="s">
        <v>61</v>
      </c>
      <c r="AB3" s="340" t="s">
        <v>87</v>
      </c>
      <c r="AC3" s="342" t="s">
        <v>61</v>
      </c>
      <c r="AD3" s="340" t="s">
        <v>87</v>
      </c>
      <c r="AE3" s="341" t="s">
        <v>61</v>
      </c>
      <c r="AF3" s="343" t="s">
        <v>87</v>
      </c>
      <c r="AG3" s="344"/>
      <c r="AH3" s="345" t="s">
        <v>61</v>
      </c>
      <c r="AX3"/>
      <c r="AY3"/>
      <c r="AZ3"/>
    </row>
    <row r="4" spans="1:52" s="2" customFormat="1" x14ac:dyDescent="0.3">
      <c r="A4" s="318" t="s">
        <v>351</v>
      </c>
      <c r="B4" s="323" t="s">
        <v>350</v>
      </c>
      <c r="C4" s="324" t="s">
        <v>179</v>
      </c>
      <c r="D4" s="323"/>
      <c r="E4" s="324"/>
      <c r="F4" s="323"/>
      <c r="G4" s="324"/>
      <c r="H4" s="323"/>
      <c r="I4" s="324"/>
      <c r="J4" s="323"/>
      <c r="K4" s="324"/>
      <c r="L4" s="323"/>
      <c r="M4" s="324"/>
      <c r="N4" s="323"/>
      <c r="O4" s="324"/>
      <c r="P4" s="323"/>
      <c r="Q4" s="325"/>
      <c r="R4" s="323"/>
      <c r="S4" s="324"/>
      <c r="T4" s="323"/>
      <c r="U4" s="324"/>
      <c r="V4" s="323"/>
      <c r="W4" s="324"/>
      <c r="X4" s="323"/>
      <c r="Y4" s="324"/>
      <c r="Z4" s="323"/>
      <c r="AA4" s="324"/>
      <c r="AB4" s="323"/>
      <c r="AC4" s="325"/>
      <c r="AD4" s="323"/>
      <c r="AE4" s="324"/>
      <c r="AF4" s="337"/>
      <c r="AG4" s="338"/>
      <c r="AH4" s="339"/>
    </row>
    <row r="5" spans="1:52" x14ac:dyDescent="0.3">
      <c r="A5" s="319" t="s">
        <v>16</v>
      </c>
      <c r="B5" s="239">
        <f>'K1 katlad'!I12</f>
        <v>0.9652173913043478</v>
      </c>
      <c r="C5" s="240">
        <f>'K1 katlad'!J12</f>
        <v>12.338760000000001</v>
      </c>
      <c r="D5" s="239"/>
      <c r="E5" s="240"/>
      <c r="F5" s="239"/>
      <c r="G5" s="240"/>
      <c r="H5" s="239"/>
      <c r="I5" s="240"/>
      <c r="J5" s="239"/>
      <c r="K5" s="240"/>
      <c r="L5" s="241"/>
      <c r="M5" s="242"/>
      <c r="N5" s="241"/>
      <c r="O5" s="242"/>
      <c r="P5" s="241"/>
      <c r="Q5" s="243"/>
      <c r="R5" s="241"/>
      <c r="S5" s="242"/>
      <c r="T5" s="268">
        <f>'V8 Šurfid'!L7</f>
        <v>0.11355555555555556</v>
      </c>
      <c r="U5" s="269">
        <f>'V8 Šurfid'!K7</f>
        <v>49.056000000000004</v>
      </c>
      <c r="V5" s="241"/>
      <c r="W5" s="242"/>
      <c r="X5" s="241"/>
      <c r="Y5" s="242"/>
      <c r="Z5" s="241"/>
      <c r="AA5" s="242"/>
      <c r="AB5" s="241"/>
      <c r="AC5" s="243"/>
      <c r="AD5" s="241"/>
      <c r="AE5" s="242"/>
      <c r="AF5" s="244">
        <f>B5+D5+F5+H5+J5+L5+N5+P5+R5+T5+V5+X5+Z5+AB5+AD5</f>
        <v>1.0787729468599034</v>
      </c>
      <c r="AG5" s="261"/>
      <c r="AH5" s="245">
        <f>C5+E5+G5+I5+K5+M5+O5+Q5+S5+U5+W5+Y5+AA5+AC5+AE5</f>
        <v>61.394760000000005</v>
      </c>
    </row>
    <row r="6" spans="1:52" x14ac:dyDescent="0.3">
      <c r="A6" s="319" t="s">
        <v>19</v>
      </c>
      <c r="B6" s="239">
        <f>'K1 katlad'!I13</f>
        <v>0.36521739130434783</v>
      </c>
      <c r="C6" s="240">
        <f>'K1 katlad'!J13</f>
        <v>4.6687200000000004</v>
      </c>
      <c r="D6" s="239"/>
      <c r="E6" s="240"/>
      <c r="F6" s="239"/>
      <c r="G6" s="240"/>
      <c r="H6" s="239"/>
      <c r="I6" s="240"/>
      <c r="J6" s="239"/>
      <c r="K6" s="240"/>
      <c r="L6" s="241"/>
      <c r="M6" s="242"/>
      <c r="N6" s="241"/>
      <c r="O6" s="242"/>
      <c r="P6" s="241"/>
      <c r="Q6" s="243"/>
      <c r="R6" s="241"/>
      <c r="S6" s="242"/>
      <c r="T6" s="268">
        <f>'V8 Šurfid'!L6</f>
        <v>0.48261111111111116</v>
      </c>
      <c r="U6" s="269">
        <f>'V8 Šurfid'!K6</f>
        <v>208.488</v>
      </c>
      <c r="V6" s="241"/>
      <c r="W6" s="242"/>
      <c r="X6" s="241"/>
      <c r="Y6" s="242"/>
      <c r="Z6" s="241"/>
      <c r="AA6" s="242"/>
      <c r="AB6" s="241"/>
      <c r="AC6" s="243"/>
      <c r="AD6" s="241"/>
      <c r="AE6" s="242"/>
      <c r="AF6" s="244">
        <f t="shared" ref="AF6:AF20" si="0">B6+D6+F6+H6+J6+L6+N6+P6+R6+T6+V6+X6+Z6+AB6+AD6</f>
        <v>0.84782850241545904</v>
      </c>
      <c r="AG6" s="261"/>
      <c r="AH6" s="245">
        <f t="shared" ref="AH6:AH20" si="1">C6+E6+G6+I6+K6+M6+O6+Q6+S6+U6+W6+Y6+AA6+AC6+AE6</f>
        <v>213.15672000000001</v>
      </c>
    </row>
    <row r="7" spans="1:52" x14ac:dyDescent="0.3">
      <c r="A7" s="319" t="s">
        <v>331</v>
      </c>
      <c r="B7" s="239">
        <f>'K1 katlad'!I14</f>
        <v>4.3478260869565216E-2</v>
      </c>
      <c r="C7" s="240">
        <f>'K1 katlad'!J14</f>
        <v>0.55579999999999996</v>
      </c>
      <c r="D7" s="239">
        <f>'K2  K3 Katlamaja mahuti'!P30</f>
        <v>5.876066792667467E-2</v>
      </c>
      <c r="E7" s="240">
        <f>'K2  K3 Katlamaja mahuti'!Q30</f>
        <v>9.3186732228400949E-3</v>
      </c>
      <c r="F7" s="239"/>
      <c r="G7" s="240"/>
      <c r="H7" s="239"/>
      <c r="I7" s="240"/>
      <c r="J7" s="239"/>
      <c r="K7" s="240"/>
      <c r="L7" s="241"/>
      <c r="M7" s="242"/>
      <c r="N7" s="241"/>
      <c r="O7" s="242"/>
      <c r="P7" s="241"/>
      <c r="Q7" s="243"/>
      <c r="R7" s="241"/>
      <c r="S7" s="242"/>
      <c r="T7" s="268"/>
      <c r="U7" s="269"/>
      <c r="V7" s="241">
        <f>'V9 V9.1 V10 V11 Tankla'!C55</f>
        <v>4.5133333333333338E-2</v>
      </c>
      <c r="W7" s="242">
        <f>'V9 V9.1 V10 V11 Tankla'!C53</f>
        <v>2.9000000000000001E-2</v>
      </c>
      <c r="X7" s="241">
        <f>'V9 V9.1 V10 V11 Tankla'!D55</f>
        <v>5.9333333333333327</v>
      </c>
      <c r="Y7" s="242">
        <f>'V9 V9.1 V10 V11 Tankla'!D53</f>
        <v>4.8000000000000001E-2</v>
      </c>
      <c r="Z7" s="241">
        <f>'V9 V9.1 V10 V11 Tankla'!E55</f>
        <v>4.5133333333333345E-2</v>
      </c>
      <c r="AA7" s="242">
        <f>'V9 V9.1 V10 V11 Tankla'!E53</f>
        <v>2.1750000000000002E-2</v>
      </c>
      <c r="AB7" s="241">
        <f>'V9 V9.1 V10 V11 Tankla'!F55</f>
        <v>4.5633333333333338E-2</v>
      </c>
      <c r="AC7" s="243">
        <f>'V9 V9.1 V10 V11 Tankla'!F53</f>
        <v>3.4437500000000003E-2</v>
      </c>
      <c r="AD7" s="241"/>
      <c r="AE7" s="242"/>
      <c r="AF7" s="244">
        <f t="shared" si="0"/>
        <v>6.1714722621295719</v>
      </c>
      <c r="AG7" s="261"/>
      <c r="AH7" s="245">
        <f t="shared" si="1"/>
        <v>0.69830617322284017</v>
      </c>
    </row>
    <row r="8" spans="1:52" x14ac:dyDescent="0.3">
      <c r="A8" s="319" t="s">
        <v>23</v>
      </c>
      <c r="B8" s="239">
        <f>'K1 katlad'!I15</f>
        <v>3.5045449567407729</v>
      </c>
      <c r="C8" s="240">
        <f>'K1 katlad'!J15</f>
        <v>44.800000000000004</v>
      </c>
      <c r="D8" s="239"/>
      <c r="E8" s="240"/>
      <c r="F8" s="239"/>
      <c r="G8" s="240"/>
      <c r="H8" s="239"/>
      <c r="I8" s="240"/>
      <c r="J8" s="239"/>
      <c r="K8" s="240"/>
      <c r="L8" s="241"/>
      <c r="M8" s="242"/>
      <c r="N8" s="241"/>
      <c r="O8" s="242"/>
      <c r="P8" s="241"/>
      <c r="Q8" s="243"/>
      <c r="R8" s="241"/>
      <c r="S8" s="242"/>
      <c r="T8" s="268">
        <f>'V8 Šurfid'!L8</f>
        <v>1.4194444444444445E-2</v>
      </c>
      <c r="U8" s="269">
        <f>'V8 Šurfid'!K8</f>
        <v>6.1320000000000006</v>
      </c>
      <c r="V8" s="241"/>
      <c r="W8" s="242"/>
      <c r="X8" s="241"/>
      <c r="Y8" s="242"/>
      <c r="Z8" s="241"/>
      <c r="AA8" s="242"/>
      <c r="AB8" s="241"/>
      <c r="AC8" s="243"/>
      <c r="AD8" s="241"/>
      <c r="AE8" s="242"/>
      <c r="AF8" s="244">
        <f t="shared" si="0"/>
        <v>3.5187394011852176</v>
      </c>
      <c r="AG8" s="261"/>
      <c r="AH8" s="245">
        <f t="shared" si="1"/>
        <v>50.932000000000002</v>
      </c>
    </row>
    <row r="9" spans="1:52" x14ac:dyDescent="0.3">
      <c r="A9" s="319" t="s">
        <v>326</v>
      </c>
      <c r="B9" s="239">
        <f>'K1 katlad'!I16</f>
        <v>0.34782608695652173</v>
      </c>
      <c r="C9" s="240">
        <f>'K1 katlad'!J16</f>
        <v>4.4463999999999997</v>
      </c>
      <c r="D9" s="239"/>
      <c r="E9" s="240"/>
      <c r="F9" s="239">
        <f>'V1 V2 V3 V4 V5 V6 V7'!J5</f>
        <v>7.213168242840981E-2</v>
      </c>
      <c r="G9" s="240">
        <f>'V1 V2 V3 V4 V5 V6 V7'!G5</f>
        <v>2.2747447370623317</v>
      </c>
      <c r="H9" s="239">
        <f>'V1 V2 V3 V4 V5 V6 V7'!J6</f>
        <v>1.081975236426147E-2</v>
      </c>
      <c r="I9" s="240">
        <f>'V1 V2 V3 V4 V5 V6 V7'!G6</f>
        <v>0.22747447370623314</v>
      </c>
      <c r="J9" s="239">
        <f>'V1 V2 V3 V4 V5 V6 V7'!J7</f>
        <v>3.8951108511341287E-2</v>
      </c>
      <c r="K9" s="240">
        <f>'V1 V2 V3 V4 V5 V6 V7'!G7</f>
        <v>0.8189081053424393</v>
      </c>
      <c r="L9" s="241">
        <f>'V1 V2 V3 V4 V5 V6 V7'!J8</f>
        <v>3.8951108511341287E-2</v>
      </c>
      <c r="M9" s="242">
        <f>'V1 V2 V3 V4 V5 V6 V7'!G8</f>
        <v>0.8189081053424393</v>
      </c>
      <c r="N9" s="241">
        <f>'V1 V2 V3 V4 V5 V6 V7'!J9</f>
        <v>4.1194128408313567E-2</v>
      </c>
      <c r="O9" s="242">
        <f>'V1 V2 V3 V4 V5 V6 V7'!G9</f>
        <v>0.86606535565638443</v>
      </c>
      <c r="P9" s="241">
        <f>'V1 V2 V3 V4 V5 V6 V7'!J10</f>
        <v>4.1194128408313567E-2</v>
      </c>
      <c r="Q9" s="243">
        <f>'V1 V2 V3 V4 V5 V6 V7'!G10</f>
        <v>0.86606535565638443</v>
      </c>
      <c r="R9" s="241">
        <f>'V1 V2 V3 V4 V5 V6 V7'!J11</f>
        <v>4.1194128408313567E-2</v>
      </c>
      <c r="S9" s="242">
        <f>'V1 V2 V3 V4 V5 V6 V7'!G11</f>
        <v>0.86606535565638443</v>
      </c>
      <c r="T9" s="268">
        <f>'V8 Šurfid'!L3</f>
        <v>3.2830327806198021</v>
      </c>
      <c r="U9" s="269">
        <f>'V8 Šurfid'!K3</f>
        <v>1418.2701612277544</v>
      </c>
      <c r="V9" s="241"/>
      <c r="W9" s="242"/>
      <c r="X9" s="241"/>
      <c r="Y9" s="242"/>
      <c r="Z9" s="241"/>
      <c r="AA9" s="242"/>
      <c r="AB9" s="241"/>
      <c r="AC9" s="243"/>
      <c r="AD9" s="326">
        <f>'V12 Purustus ja sorteerimissõlm'!E12</f>
        <v>0.9177777777777778</v>
      </c>
      <c r="AE9" s="242">
        <f>'V12 Purustus ja sorteerimissõlm'!H12</f>
        <v>11.327999999999999</v>
      </c>
      <c r="AF9" s="244">
        <f>B9+D9+F9+H9+J9+L9+N9+P9+R9+T9+V9+X9+Z9+AB9+AD9</f>
        <v>4.8330726823943966</v>
      </c>
      <c r="AG9" s="261"/>
      <c r="AH9" s="245">
        <f>C9+E9+G9+I9+K9+M9+O9+Q9+S9+U9+W9+Y9+AA9+AC9+AE9</f>
        <v>1440.782792716177</v>
      </c>
    </row>
    <row r="10" spans="1:52" x14ac:dyDescent="0.3">
      <c r="A10" s="319" t="s">
        <v>327</v>
      </c>
      <c r="B10" s="239">
        <f>'K1 katlad'!I17</f>
        <v>5.2173913043478265E-2</v>
      </c>
      <c r="C10" s="240">
        <f>'K1 katlad'!J17</f>
        <v>0.66696</v>
      </c>
      <c r="D10" s="239"/>
      <c r="E10" s="240"/>
      <c r="F10" s="239">
        <f>'V1 V2 V3 V4 V5 V6 V7'!K5</f>
        <v>3.4116336283707333E-2</v>
      </c>
      <c r="G10" s="240">
        <f>'V1 V2 V3 V4 V5 V6 V7'!H5</f>
        <v>1.0758927810429946</v>
      </c>
      <c r="H10" s="239">
        <f>'V1 V2 V3 V4 V5 V6 V7'!K6</f>
        <v>5.1174504425561011E-3</v>
      </c>
      <c r="I10" s="240">
        <f>'V1 V2 V3 V4 V5 V6 V7'!H6</f>
        <v>0.10758927810429945</v>
      </c>
      <c r="J10" s="239">
        <f>'V1 V2 V3 V4 V5 V6 V7'!K7</f>
        <v>1.8422821593201959E-2</v>
      </c>
      <c r="K10" s="240">
        <f>'V1 V2 V3 V4 V5 V6 V7'!H7</f>
        <v>0.38732140117547798</v>
      </c>
      <c r="L10" s="241">
        <f>'V1 V2 V3 V4 V5 V6 V7'!K8</f>
        <v>1.8422821593201959E-2</v>
      </c>
      <c r="M10" s="242">
        <f>'V1 V2 V3 V4 V5 V6 V7'!H8</f>
        <v>0.38732140117547798</v>
      </c>
      <c r="N10" s="241">
        <f>'V1 V2 V3 V4 V5 V6 V7'!K9</f>
        <v>1.9483709382310466E-2</v>
      </c>
      <c r="O10" s="242">
        <f>'V1 V2 V3 V4 V5 V6 V7'!H9</f>
        <v>0.4096255060536953</v>
      </c>
      <c r="P10" s="241">
        <f>'V1 V2 V3 V4 V5 V6 V7'!K10</f>
        <v>1.9483709382310466E-2</v>
      </c>
      <c r="Q10" s="243">
        <f>'V1 V2 V3 V4 V5 V6 V7'!H10</f>
        <v>0.4096255060536953</v>
      </c>
      <c r="R10" s="241">
        <f>'V1 V2 V3 V4 V5 V6 V7'!K11</f>
        <v>1.9483709382310466E-2</v>
      </c>
      <c r="S10" s="242">
        <f>'V1 V2 V3 V4 V5 V6 V7'!H11</f>
        <v>0.4096255060536953</v>
      </c>
      <c r="T10" s="268">
        <f>'V8 Šurfid'!L4</f>
        <v>1.7249548237000749</v>
      </c>
      <c r="U10" s="269">
        <f>'V8 Šurfid'!K4</f>
        <v>745.18048383843234</v>
      </c>
      <c r="V10" s="241"/>
      <c r="W10" s="242"/>
      <c r="X10" s="241"/>
      <c r="Y10" s="242"/>
      <c r="Z10" s="241"/>
      <c r="AA10" s="242"/>
      <c r="AB10" s="241"/>
      <c r="AC10" s="243"/>
      <c r="AD10" s="326">
        <f>'V12 Purustus ja sorteerimissõlm'!F12</f>
        <v>0.42427777777777781</v>
      </c>
      <c r="AE10" s="242">
        <f>'V12 Purustus ja sorteerimissõlm'!I12</f>
        <v>5.2368000000000006</v>
      </c>
      <c r="AF10" s="244">
        <f t="shared" si="0"/>
        <v>2.3359370725809296</v>
      </c>
      <c r="AG10" s="261"/>
      <c r="AH10" s="245">
        <f t="shared" si="1"/>
        <v>754.27124521809174</v>
      </c>
    </row>
    <row r="11" spans="1:52" x14ac:dyDescent="0.3">
      <c r="A11" s="319" t="s">
        <v>328</v>
      </c>
      <c r="B11" s="239">
        <f>'K1 katlad'!I18</f>
        <v>5.2173913043478265E-2</v>
      </c>
      <c r="C11" s="240">
        <f>'K1 katlad'!J18</f>
        <v>0.66696</v>
      </c>
      <c r="D11" s="239"/>
      <c r="E11" s="240"/>
      <c r="F11" s="239">
        <f>'V1 V2 V3 V4 V5 V6 V7'!L5</f>
        <v>5.1661880658185402E-3</v>
      </c>
      <c r="G11" s="240">
        <f>'V1 V2 V3 V4 V5 V6 V7'!I5</f>
        <v>0.16292090684365348</v>
      </c>
      <c r="H11" s="239">
        <f>'V1 V2 V3 V4 V5 V6 V7'!L6</f>
        <v>7.7492820987278108E-4</v>
      </c>
      <c r="I11" s="240">
        <f>'V1 V2 V3 V4 V5 V6 V7'!I6</f>
        <v>1.6292090684365348E-2</v>
      </c>
      <c r="J11" s="239">
        <f>'V1 V2 V3 V4 V5 V6 V7'!L7</f>
        <v>2.7897415555420114E-3</v>
      </c>
      <c r="K11" s="240">
        <f>'V1 V2 V3 V4 V5 V6 V7'!I7</f>
        <v>5.8651526463715249E-2</v>
      </c>
      <c r="L11" s="241">
        <f>'V1 V2 V3 V4 V5 V6 V7'!L8</f>
        <v>2.7897415555420114E-3</v>
      </c>
      <c r="M11" s="242">
        <f>'V1 V2 V3 V4 V5 V6 V7'!I8</f>
        <v>5.8651526463715249E-2</v>
      </c>
      <c r="N11" s="241">
        <f>'V1 V2 V3 V4 V5 V6 V7'!L9</f>
        <v>2.9503902778927286E-3</v>
      </c>
      <c r="O11" s="242">
        <f>'V1 V2 V3 V4 V5 V6 V7'!I9</f>
        <v>6.202900520241672E-2</v>
      </c>
      <c r="P11" s="241">
        <f>'V1 V2 V3 V4 V5 V6 V7'!L10</f>
        <v>2.9503902778927286E-3</v>
      </c>
      <c r="Q11" s="243">
        <f>'V1 V2 V3 V4 V5 V6 V7'!I10</f>
        <v>6.202900520241672E-2</v>
      </c>
      <c r="R11" s="241">
        <f>'V1 V2 V3 V4 V5 V6 V7'!L11</f>
        <v>2.9503902778927286E-3</v>
      </c>
      <c r="S11" s="242">
        <f>'V1 V2 V3 V4 V5 V6 V7'!I11</f>
        <v>6.202900520241672E-2</v>
      </c>
      <c r="T11" s="268">
        <f>'V8 Šurfid'!L5</f>
        <v>1.7223798723074828</v>
      </c>
      <c r="U11" s="269">
        <f>'V8 Šurfid'!K5</f>
        <v>744.06810483683262</v>
      </c>
      <c r="V11" s="241"/>
      <c r="W11" s="242"/>
      <c r="X11" s="241"/>
      <c r="Y11" s="242"/>
      <c r="Z11" s="241"/>
      <c r="AA11" s="242"/>
      <c r="AB11" s="241"/>
      <c r="AC11" s="243"/>
      <c r="AD11" s="326">
        <f>'V12 Purustus ja sorteerimissõlm'!G12</f>
        <v>5.8090277777777789E-2</v>
      </c>
      <c r="AE11" s="242">
        <f>'V12 Purustus ja sorteerimissõlm'!J12</f>
        <v>0.71700000000000008</v>
      </c>
      <c r="AF11" s="244">
        <f t="shared" si="0"/>
        <v>1.8530158333491924</v>
      </c>
      <c r="AG11" s="261"/>
      <c r="AH11" s="245">
        <f t="shared" si="1"/>
        <v>745.93466790289528</v>
      </c>
    </row>
    <row r="12" spans="1:52" x14ac:dyDescent="0.3">
      <c r="A12" s="346" t="s">
        <v>31</v>
      </c>
      <c r="B12" s="239">
        <f>'K1 katlad'!I19</f>
        <v>8.6956521739130432E-2</v>
      </c>
      <c r="C12" s="240">
        <f>'K1 katlad'!J19</f>
        <v>1.1115999999999999</v>
      </c>
      <c r="D12" s="239"/>
      <c r="E12" s="240"/>
      <c r="F12" s="239"/>
      <c r="G12" s="240"/>
      <c r="H12" s="239"/>
      <c r="I12" s="240"/>
      <c r="J12" s="239"/>
      <c r="K12" s="240"/>
      <c r="L12" s="241"/>
      <c r="M12" s="242"/>
      <c r="N12" s="241"/>
      <c r="O12" s="242"/>
      <c r="P12" s="241"/>
      <c r="Q12" s="243"/>
      <c r="R12" s="241"/>
      <c r="S12" s="242"/>
      <c r="T12" s="241"/>
      <c r="U12" s="242"/>
      <c r="V12" s="241"/>
      <c r="W12" s="242"/>
      <c r="X12" s="241"/>
      <c r="Y12" s="242"/>
      <c r="Z12" s="241"/>
      <c r="AA12" s="242"/>
      <c r="AB12" s="241"/>
      <c r="AC12" s="243"/>
      <c r="AD12" s="241"/>
      <c r="AE12" s="242"/>
      <c r="AF12" s="244">
        <f t="shared" si="0"/>
        <v>8.6956521739130432E-2</v>
      </c>
      <c r="AG12" s="261" t="s">
        <v>350</v>
      </c>
      <c r="AH12" s="245">
        <f t="shared" si="1"/>
        <v>1.1115999999999999</v>
      </c>
      <c r="AI12" t="s">
        <v>179</v>
      </c>
    </row>
    <row r="13" spans="1:52" x14ac:dyDescent="0.3">
      <c r="A13" s="347" t="s">
        <v>37</v>
      </c>
      <c r="B13" s="239">
        <f>'K1 katlad'!I22</f>
        <v>0.38695652173913042</v>
      </c>
      <c r="C13" s="240">
        <f>'K1 katlad'!J22</f>
        <v>4.9466199999999994</v>
      </c>
      <c r="D13" s="239"/>
      <c r="E13" s="240"/>
      <c r="F13" s="239"/>
      <c r="G13" s="240"/>
      <c r="H13" s="239"/>
      <c r="I13" s="240"/>
      <c r="J13" s="239"/>
      <c r="K13" s="240"/>
      <c r="L13" s="241"/>
      <c r="M13" s="242"/>
      <c r="N13" s="241"/>
      <c r="O13" s="242"/>
      <c r="P13" s="241"/>
      <c r="Q13" s="243"/>
      <c r="R13" s="241"/>
      <c r="S13" s="242"/>
      <c r="T13" s="241"/>
      <c r="U13" s="242"/>
      <c r="V13" s="241"/>
      <c r="W13" s="242"/>
      <c r="X13" s="241"/>
      <c r="Y13" s="242"/>
      <c r="Z13" s="241"/>
      <c r="AA13" s="242"/>
      <c r="AB13" s="241"/>
      <c r="AC13" s="243"/>
      <c r="AD13" s="241"/>
      <c r="AE13" s="242"/>
      <c r="AF13" s="244">
        <f t="shared" si="0"/>
        <v>0.38695652173913042</v>
      </c>
      <c r="AG13" s="261" t="s">
        <v>350</v>
      </c>
      <c r="AH13" s="245">
        <f t="shared" si="1"/>
        <v>4.9466199999999994</v>
      </c>
      <c r="AI13" t="s">
        <v>179</v>
      </c>
    </row>
    <row r="14" spans="1:52" x14ac:dyDescent="0.3">
      <c r="A14" s="347" t="s">
        <v>39</v>
      </c>
      <c r="B14" s="239">
        <f>'K1 katlad'!I23</f>
        <v>0.17391304347826086</v>
      </c>
      <c r="C14" s="240">
        <f>'K1 katlad'!J23</f>
        <v>2.2231999999999998</v>
      </c>
      <c r="D14" s="239"/>
      <c r="E14" s="240"/>
      <c r="F14" s="239"/>
      <c r="G14" s="240"/>
      <c r="H14" s="239"/>
      <c r="I14" s="240"/>
      <c r="J14" s="239"/>
      <c r="K14" s="240"/>
      <c r="L14" s="241"/>
      <c r="M14" s="242"/>
      <c r="N14" s="241"/>
      <c r="O14" s="242"/>
      <c r="P14" s="241"/>
      <c r="Q14" s="243"/>
      <c r="R14" s="241"/>
      <c r="S14" s="242"/>
      <c r="T14" s="241"/>
      <c r="U14" s="242"/>
      <c r="V14" s="241"/>
      <c r="W14" s="242"/>
      <c r="X14" s="241"/>
      <c r="Y14" s="242"/>
      <c r="Z14" s="241"/>
      <c r="AA14" s="242"/>
      <c r="AB14" s="241"/>
      <c r="AC14" s="243"/>
      <c r="AD14" s="241"/>
      <c r="AE14" s="242"/>
      <c r="AF14" s="244">
        <f t="shared" si="0"/>
        <v>0.17391304347826086</v>
      </c>
      <c r="AG14" s="261" t="s">
        <v>350</v>
      </c>
      <c r="AH14" s="245">
        <f t="shared" si="1"/>
        <v>2.2231999999999998</v>
      </c>
      <c r="AI14" t="s">
        <v>179</v>
      </c>
    </row>
    <row r="15" spans="1:52" x14ac:dyDescent="0.3">
      <c r="A15" s="346" t="s">
        <v>43</v>
      </c>
      <c r="B15" s="239">
        <f>'K1 katlad'!I25</f>
        <v>1.7391304347826086</v>
      </c>
      <c r="C15" s="240">
        <f>'K1 katlad'!J25</f>
        <v>22.231999999999999</v>
      </c>
      <c r="D15" s="239"/>
      <c r="E15" s="240"/>
      <c r="F15" s="239"/>
      <c r="G15" s="240"/>
      <c r="H15" s="239"/>
      <c r="I15" s="240"/>
      <c r="J15" s="239"/>
      <c r="K15" s="240"/>
      <c r="L15" s="241"/>
      <c r="M15" s="242"/>
      <c r="N15" s="241"/>
      <c r="O15" s="242"/>
      <c r="P15" s="241"/>
      <c r="Q15" s="243"/>
      <c r="R15" s="241"/>
      <c r="S15" s="242"/>
      <c r="T15" s="241"/>
      <c r="U15" s="242"/>
      <c r="V15" s="241"/>
      <c r="W15" s="242"/>
      <c r="X15" s="241"/>
      <c r="Y15" s="242"/>
      <c r="Z15" s="241"/>
      <c r="AA15" s="242"/>
      <c r="AB15" s="241"/>
      <c r="AC15" s="243"/>
      <c r="AD15" s="241"/>
      <c r="AE15" s="242"/>
      <c r="AF15" s="244">
        <f t="shared" si="0"/>
        <v>1.7391304347826086</v>
      </c>
      <c r="AG15" s="261" t="s">
        <v>350</v>
      </c>
      <c r="AH15" s="245">
        <f t="shared" si="1"/>
        <v>22.231999999999999</v>
      </c>
      <c r="AI15" t="s">
        <v>179</v>
      </c>
    </row>
    <row r="16" spans="1:52" x14ac:dyDescent="0.3">
      <c r="A16" s="336" t="s">
        <v>409</v>
      </c>
      <c r="B16" s="239">
        <f>'K1 katlad'!I27</f>
        <v>8.6956521739130432E-2</v>
      </c>
      <c r="C16" s="240">
        <f>'K1 katlad'!J27</f>
        <v>1.1115999999999999</v>
      </c>
      <c r="D16" s="239"/>
      <c r="E16" s="240"/>
      <c r="F16" s="239"/>
      <c r="G16" s="240"/>
      <c r="H16" s="239"/>
      <c r="I16" s="240"/>
      <c r="J16" s="239"/>
      <c r="K16" s="240"/>
      <c r="L16" s="241"/>
      <c r="M16" s="242"/>
      <c r="N16" s="241"/>
      <c r="O16" s="242"/>
      <c r="P16" s="241"/>
      <c r="Q16" s="243"/>
      <c r="R16" s="241"/>
      <c r="S16" s="242"/>
      <c r="T16" s="241"/>
      <c r="U16" s="242"/>
      <c r="V16" s="241"/>
      <c r="W16" s="242"/>
      <c r="X16" s="241"/>
      <c r="Y16" s="242"/>
      <c r="Z16" s="241"/>
      <c r="AA16" s="242"/>
      <c r="AB16" s="241"/>
      <c r="AC16" s="243"/>
      <c r="AD16" s="241"/>
      <c r="AE16" s="242"/>
      <c r="AF16" s="244">
        <f t="shared" si="0"/>
        <v>8.6956521739130432E-2</v>
      </c>
      <c r="AG16" s="261"/>
      <c r="AH16" s="245">
        <f t="shared" si="1"/>
        <v>1.1115999999999999</v>
      </c>
      <c r="AI16" t="s">
        <v>410</v>
      </c>
    </row>
    <row r="17" spans="1:35" x14ac:dyDescent="0.3">
      <c r="A17" s="320" t="s">
        <v>53</v>
      </c>
      <c r="B17" s="239"/>
      <c r="C17" s="240">
        <f>'K1 katlad'!J32</f>
        <v>8593.8240640000004</v>
      </c>
      <c r="D17" s="239"/>
      <c r="E17" s="240"/>
      <c r="F17" s="239"/>
      <c r="G17" s="240"/>
      <c r="H17" s="239"/>
      <c r="I17" s="240"/>
      <c r="J17" s="239"/>
      <c r="K17" s="240"/>
      <c r="L17" s="241"/>
      <c r="M17" s="242"/>
      <c r="N17" s="241"/>
      <c r="O17" s="242"/>
      <c r="P17" s="241"/>
      <c r="Q17" s="243"/>
      <c r="R17" s="241"/>
      <c r="S17" s="242"/>
      <c r="T17" s="241"/>
      <c r="U17" s="242"/>
      <c r="V17" s="241"/>
      <c r="W17" s="242"/>
      <c r="X17" s="241"/>
      <c r="Y17" s="242"/>
      <c r="Z17" s="241"/>
      <c r="AA17" s="242"/>
      <c r="AB17" s="241"/>
      <c r="AC17" s="243"/>
      <c r="AD17" s="241"/>
      <c r="AE17" s="242"/>
      <c r="AF17" s="244"/>
      <c r="AG17" s="261"/>
      <c r="AH17" s="245">
        <f t="shared" si="1"/>
        <v>8593.8240640000004</v>
      </c>
    </row>
    <row r="18" spans="1:35" x14ac:dyDescent="0.3">
      <c r="A18" s="321" t="s">
        <v>157</v>
      </c>
      <c r="B18" s="239"/>
      <c r="C18" s="240"/>
      <c r="D18" s="239">
        <f>'K2  K3 Katlamaja mahuti'!P31</f>
        <v>2.2243479723239646E-3</v>
      </c>
      <c r="E18" s="240">
        <f>'K2  K3 Katlamaja mahuti'!Q31</f>
        <v>3.5279785712503763E-4</v>
      </c>
      <c r="F18" s="239"/>
      <c r="G18" s="240"/>
      <c r="H18" s="239"/>
      <c r="I18" s="240"/>
      <c r="J18" s="239"/>
      <c r="K18" s="240"/>
      <c r="L18" s="241"/>
      <c r="M18" s="242"/>
      <c r="N18" s="241"/>
      <c r="O18" s="242"/>
      <c r="P18" s="241"/>
      <c r="Q18" s="243"/>
      <c r="R18" s="241"/>
      <c r="S18" s="242"/>
      <c r="T18" s="241"/>
      <c r="U18" s="242"/>
      <c r="V18" s="241"/>
      <c r="W18" s="242"/>
      <c r="X18" s="241"/>
      <c r="Y18" s="242"/>
      <c r="Z18" s="241"/>
      <c r="AA18" s="242"/>
      <c r="AB18" s="241"/>
      <c r="AC18" s="243"/>
      <c r="AD18" s="241"/>
      <c r="AE18" s="242"/>
      <c r="AF18" s="244">
        <f t="shared" si="0"/>
        <v>2.2243479723239646E-3</v>
      </c>
      <c r="AG18" s="261"/>
      <c r="AH18" s="245">
        <f t="shared" si="1"/>
        <v>3.5279785712503763E-4</v>
      </c>
    </row>
    <row r="19" spans="1:35" x14ac:dyDescent="0.3">
      <c r="A19" s="321" t="s">
        <v>156</v>
      </c>
      <c r="B19" s="239"/>
      <c r="C19" s="240"/>
      <c r="D19" s="239">
        <f>'K2  K3 Katlamaja mahuti'!P32</f>
        <v>2.224347972323965E-4</v>
      </c>
      <c r="E19" s="240">
        <f>'K2  K3 Katlamaja mahuti'!Q32</f>
        <v>3.5279785712503772E-5</v>
      </c>
      <c r="F19" s="239"/>
      <c r="G19" s="240"/>
      <c r="H19" s="239"/>
      <c r="I19" s="240"/>
      <c r="J19" s="239"/>
      <c r="K19" s="240"/>
      <c r="L19" s="241"/>
      <c r="M19" s="242"/>
      <c r="N19" s="241"/>
      <c r="O19" s="242"/>
      <c r="P19" s="241"/>
      <c r="Q19" s="243"/>
      <c r="R19" s="241"/>
      <c r="S19" s="242"/>
      <c r="T19" s="241"/>
      <c r="U19" s="242"/>
      <c r="V19" s="241"/>
      <c r="W19" s="242"/>
      <c r="X19" s="241"/>
      <c r="Y19" s="242"/>
      <c r="Z19" s="241"/>
      <c r="AA19" s="242"/>
      <c r="AB19" s="241"/>
      <c r="AC19" s="243"/>
      <c r="AD19" s="241"/>
      <c r="AE19" s="242"/>
      <c r="AF19" s="244">
        <f t="shared" si="0"/>
        <v>2.224347972323965E-4</v>
      </c>
      <c r="AG19" s="261"/>
      <c r="AH19" s="245">
        <f t="shared" si="1"/>
        <v>3.5279785712503772E-5</v>
      </c>
      <c r="AI19" t="s">
        <v>338</v>
      </c>
    </row>
    <row r="20" spans="1:35" ht="15" thickBot="1" x14ac:dyDescent="0.35">
      <c r="A20" s="322" t="s">
        <v>180</v>
      </c>
      <c r="B20" s="246"/>
      <c r="C20" s="247"/>
      <c r="D20" s="246">
        <f>'K2  K3 Katlamaja mahuti'!P33</f>
        <v>1.7628200378002399E-3</v>
      </c>
      <c r="E20" s="247">
        <f>'K2  K3 Katlamaja mahuti'!Q33</f>
        <v>2.7956019668520289E-4</v>
      </c>
      <c r="F20" s="246"/>
      <c r="G20" s="247"/>
      <c r="H20" s="246"/>
      <c r="I20" s="247"/>
      <c r="J20" s="246"/>
      <c r="K20" s="247"/>
      <c r="L20" s="248"/>
      <c r="M20" s="249"/>
      <c r="N20" s="248"/>
      <c r="O20" s="249"/>
      <c r="P20" s="248"/>
      <c r="Q20" s="250"/>
      <c r="R20" s="248"/>
      <c r="S20" s="249"/>
      <c r="T20" s="248"/>
      <c r="U20" s="249"/>
      <c r="V20" s="248">
        <f>'V9 V9.1 V10 V11 Tankla'!C56</f>
        <v>1.354E-3</v>
      </c>
      <c r="W20" s="249">
        <f>'V9 V9.1 V10 V11 Tankla'!C54</f>
        <v>8.7000000000000001E-4</v>
      </c>
      <c r="X20" s="248">
        <f>'V9 V9.1 V10 V11 Tankla'!D56</f>
        <v>4.933333333333333E-3</v>
      </c>
      <c r="Y20" s="249">
        <f>'V9 V9.1 V10 V11 Tankla'!D54</f>
        <v>1.4399999999999999E-3</v>
      </c>
      <c r="Z20" s="248">
        <f>'V9 V9.1 V10 V11 Tankla'!E56</f>
        <v>8.6400000000000008E-4</v>
      </c>
      <c r="AA20" s="249">
        <f>'V9 V9.1 V10 V11 Tankla'!E54</f>
        <v>6.5250000000000009E-4</v>
      </c>
      <c r="AB20" s="248">
        <f>'V9 V9.1 V10 V11 Tankla'!F56</f>
        <v>1.369E-3</v>
      </c>
      <c r="AC20" s="250">
        <f>'V9 V9.1 V10 V11 Tankla'!F54</f>
        <v>1.033125E-3</v>
      </c>
      <c r="AD20" s="248"/>
      <c r="AE20" s="249"/>
      <c r="AF20" s="251">
        <f t="shared" si="0"/>
        <v>1.0283153371133573E-2</v>
      </c>
      <c r="AG20" s="262"/>
      <c r="AH20" s="252">
        <f t="shared" si="1"/>
        <v>4.2751851966852028E-3</v>
      </c>
    </row>
    <row r="25" spans="1:35" x14ac:dyDescent="0.3">
      <c r="D25" t="s">
        <v>370</v>
      </c>
    </row>
  </sheetData>
  <mergeCells count="17">
    <mergeCell ref="A2:A3"/>
    <mergeCell ref="B2:C2"/>
    <mergeCell ref="X2:Y2"/>
    <mergeCell ref="D2:E2"/>
    <mergeCell ref="F2:G2"/>
    <mergeCell ref="H2:I2"/>
    <mergeCell ref="J2:K2"/>
    <mergeCell ref="L2:M2"/>
    <mergeCell ref="N2:O2"/>
    <mergeCell ref="P2:Q2"/>
    <mergeCell ref="R2:S2"/>
    <mergeCell ref="T2:U2"/>
    <mergeCell ref="V2:W2"/>
    <mergeCell ref="AD2:AE2"/>
    <mergeCell ref="Z2:AA2"/>
    <mergeCell ref="AB2:AC2"/>
    <mergeCell ref="AF2:AH2"/>
  </mergeCells>
  <phoneticPr fontId="49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3</vt:i4>
      </vt:variant>
    </vt:vector>
  </HeadingPairs>
  <TitlesOfParts>
    <vt:vector size="10" baseType="lpstr">
      <vt:lpstr>V1 V2 V3 V4 V5 V6 V7</vt:lpstr>
      <vt:lpstr>V8 Šurfid</vt:lpstr>
      <vt:lpstr>V9 V9.1 V10 V11 Tankla</vt:lpstr>
      <vt:lpstr>K1 katlad</vt:lpstr>
      <vt:lpstr>K2  K3 Katlamaja mahuti</vt:lpstr>
      <vt:lpstr>V12 Purustus ja sorteerimissõlm</vt:lpstr>
      <vt:lpstr>Koond</vt:lpstr>
      <vt:lpstr>'K2  K3 Katlamaja mahuti'!para3lg3</vt:lpstr>
      <vt:lpstr>'K2  K3 Katlamaja mahuti'!para3lg4</vt:lpstr>
      <vt:lpstr>'K2  K3 Katlamaja mahuti'!para8lg2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Ain</dc:creator>
  <cp:lastModifiedBy>Ain Tõnts</cp:lastModifiedBy>
  <dcterms:created xsi:type="dcterms:W3CDTF">2020-08-06T09:31:54Z</dcterms:created>
  <dcterms:modified xsi:type="dcterms:W3CDTF">2026-04-08T07:49:31Z</dcterms:modified>
</cp:coreProperties>
</file>